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codeName="ThisWorkbook" defaultThemeVersion="124226"/>
  <xr:revisionPtr revIDLastSave="0" documentId="13_ncr:1_{6AA8309B-4A73-497E-B821-EB2159ECF842}" xr6:coauthVersionLast="47" xr6:coauthVersionMax="47" xr10:uidLastSave="{00000000-0000-0000-0000-000000000000}"/>
  <workbookProtection workbookAlgorithmName="SHA-512" workbookHashValue="Da4LVa+olLlB8LIzgCKN0JuO23or9quSenX4RsXkgkS+q4Jwbev8FX6l3pb2VeqhkzFySIcm0V+uMcKQEJ5e0Q==" workbookSaltValue="NCJSXSkIwW2L1cX2QZND8A==" workbookSpinCount="100000" lockStructure="1"/>
  <bookViews>
    <workbookView xWindow="-120" yWindow="-120" windowWidth="20730" windowHeight="11160" xr2:uid="{00000000-000D-0000-FFFF-FFFF00000000}"/>
  </bookViews>
  <sheets>
    <sheet name="قرارداد" sheetId="1" r:id="rId1"/>
    <sheet name="لیست حقوق" sheetId="2" r:id="rId2"/>
    <sheet name="جدول مالیات" sheetId="3" r:id="rId3"/>
    <sheet name="فیش حقوقی" sheetId="4" r:id="rId4"/>
  </sheets>
  <definedNames>
    <definedName name="_xlcn.LinkedTable_Table11" hidden="1">Table1</definedName>
    <definedName name="_xlnm.Print_Area" localSheetId="1">'لیست حقوق'!$A$1:$V$20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Table1-f6ccf117-0336-4e17-b28b-77110cbc0d51" name="Table1" connection="LinkedTable_Table1"/>
        </x15:modelTables>
      </x15:dataModel>
    </ext>
  </extLst>
</workbook>
</file>

<file path=xl/calcChain.xml><?xml version="1.0" encoding="utf-8"?>
<calcChain xmlns="http://schemas.openxmlformats.org/spreadsheetml/2006/main">
  <c r="F7" i="2" l="1"/>
  <c r="G7" i="2"/>
  <c r="L17" i="1" l="1"/>
  <c r="L16" i="1"/>
  <c r="L15" i="1"/>
  <c r="L14" i="1"/>
  <c r="L13" i="1"/>
  <c r="L12" i="1"/>
  <c r="L11" i="1"/>
  <c r="L10" i="1"/>
  <c r="L9" i="1"/>
  <c r="L8" i="1"/>
  <c r="R8" i="2" l="1"/>
  <c r="R9" i="2"/>
  <c r="R10" i="2"/>
  <c r="R11" i="2"/>
  <c r="R12" i="2"/>
  <c r="R13" i="2"/>
  <c r="R14" i="2"/>
  <c r="R15" i="2"/>
  <c r="R16" i="2"/>
  <c r="R7" i="2"/>
  <c r="I17" i="2"/>
  <c r="J16" i="2"/>
  <c r="J15" i="2"/>
  <c r="J14" i="2"/>
  <c r="J13" i="2"/>
  <c r="J12" i="2"/>
  <c r="J11" i="2"/>
  <c r="J10" i="2"/>
  <c r="J9" i="2"/>
  <c r="J7" i="2"/>
  <c r="J8" i="2"/>
  <c r="G2" i="4"/>
  <c r="K12" i="1" l="1"/>
  <c r="K13" i="1"/>
  <c r="K14" i="1"/>
  <c r="K15" i="1"/>
  <c r="K16" i="1"/>
  <c r="K17" i="1"/>
  <c r="C17" i="2"/>
  <c r="K8" i="1"/>
  <c r="K9" i="1"/>
  <c r="G10" i="4" l="1"/>
  <c r="G8" i="4"/>
  <c r="G7" i="4"/>
  <c r="C9" i="4"/>
  <c r="C7" i="4"/>
  <c r="C5" i="4"/>
  <c r="G3" i="4"/>
  <c r="B1" i="4"/>
  <c r="E13" i="2" l="1"/>
  <c r="K10" i="1" l="1"/>
  <c r="K11" i="1"/>
  <c r="P17" i="2" l="1"/>
  <c r="Q17" i="2"/>
  <c r="S17" i="2"/>
  <c r="H17" i="2"/>
  <c r="N17" i="2"/>
  <c r="O17" i="2"/>
  <c r="E8" i="2"/>
  <c r="E9" i="2"/>
  <c r="E10" i="2"/>
  <c r="E11" i="2"/>
  <c r="E12" i="2"/>
  <c r="E14" i="2"/>
  <c r="E15" i="2"/>
  <c r="E16" i="2"/>
  <c r="E7" i="2"/>
  <c r="G9" i="4" l="1"/>
  <c r="E6" i="4"/>
  <c r="R17" i="2"/>
  <c r="E17" i="2"/>
  <c r="E9" i="4" l="1"/>
  <c r="D7" i="2"/>
  <c r="J17" i="2" l="1"/>
  <c r="G8" i="2"/>
  <c r="G9" i="2"/>
  <c r="G10" i="2"/>
  <c r="G11" i="2"/>
  <c r="G12" i="2"/>
  <c r="G13" i="2"/>
  <c r="G14" i="2"/>
  <c r="G15" i="2"/>
  <c r="G16" i="2"/>
  <c r="O9" i="1"/>
  <c r="B8" i="2" s="1"/>
  <c r="P9" i="1"/>
  <c r="O10" i="1"/>
  <c r="P10" i="1"/>
  <c r="F9" i="2" s="1"/>
  <c r="O11" i="1"/>
  <c r="B10" i="2" s="1"/>
  <c r="B8" i="3" s="1"/>
  <c r="P11" i="1"/>
  <c r="O12" i="1"/>
  <c r="P12" i="1"/>
  <c r="F11" i="2" s="1"/>
  <c r="O13" i="1"/>
  <c r="B12" i="2" s="1"/>
  <c r="B10" i="3" s="1"/>
  <c r="P13" i="1"/>
  <c r="O14" i="1"/>
  <c r="P14" i="1"/>
  <c r="F13" i="2" s="1"/>
  <c r="O15" i="1"/>
  <c r="B14" i="2" s="1"/>
  <c r="B12" i="3" s="1"/>
  <c r="P15" i="1"/>
  <c r="F14" i="2" s="1"/>
  <c r="O16" i="1"/>
  <c r="B15" i="2" s="1"/>
  <c r="B13" i="3" s="1"/>
  <c r="P16" i="1"/>
  <c r="F15" i="2" s="1"/>
  <c r="O17" i="1"/>
  <c r="B16" i="2" s="1"/>
  <c r="B14" i="3" s="1"/>
  <c r="P17" i="1"/>
  <c r="F16" i="2" s="1"/>
  <c r="P8" i="1"/>
  <c r="W7" i="2" s="1"/>
  <c r="D8" i="2"/>
  <c r="D9" i="2"/>
  <c r="D10" i="2"/>
  <c r="D11" i="2"/>
  <c r="D12" i="2"/>
  <c r="D13" i="2"/>
  <c r="D14" i="2"/>
  <c r="D15" i="2"/>
  <c r="D16" i="2"/>
  <c r="O8" i="1"/>
  <c r="B7" i="2" s="1"/>
  <c r="L7" i="2" l="1"/>
  <c r="W11" i="2"/>
  <c r="L11" i="2"/>
  <c r="D9" i="3" s="1"/>
  <c r="L14" i="2"/>
  <c r="W14" i="2"/>
  <c r="W15" i="2"/>
  <c r="L15" i="2"/>
  <c r="D13" i="3" s="1"/>
  <c r="L13" i="2"/>
  <c r="D11" i="3" s="1"/>
  <c r="W13" i="2"/>
  <c r="L9" i="2"/>
  <c r="D7" i="3" s="1"/>
  <c r="W9" i="2"/>
  <c r="W16" i="2"/>
  <c r="L16" i="2"/>
  <c r="B13" i="2"/>
  <c r="B11" i="3" s="1"/>
  <c r="B11" i="2"/>
  <c r="B9" i="3" s="1"/>
  <c r="B9" i="2"/>
  <c r="B7" i="3" s="1"/>
  <c r="F12" i="2"/>
  <c r="L12" i="2" s="1"/>
  <c r="D10" i="3" s="1"/>
  <c r="F10" i="2"/>
  <c r="L10" i="2" s="1"/>
  <c r="F8" i="2"/>
  <c r="K8" i="2" s="1"/>
  <c r="C6" i="3" s="1"/>
  <c r="D12" i="3"/>
  <c r="D14" i="3"/>
  <c r="B6" i="3"/>
  <c r="D5" i="3"/>
  <c r="E5" i="4"/>
  <c r="E8" i="4"/>
  <c r="E7" i="4"/>
  <c r="D17" i="2"/>
  <c r="B5" i="3"/>
  <c r="G17" i="2"/>
  <c r="K7" i="2"/>
  <c r="C5" i="3" s="1"/>
  <c r="K14" i="2"/>
  <c r="C12" i="3" s="1"/>
  <c r="K13" i="2"/>
  <c r="C11" i="3" s="1"/>
  <c r="K9" i="2"/>
  <c r="C7" i="3" s="1"/>
  <c r="K16" i="2"/>
  <c r="C14" i="3" s="1"/>
  <c r="K15" i="2"/>
  <c r="C13" i="3" s="1"/>
  <c r="K11" i="2"/>
  <c r="C9" i="3" s="1"/>
  <c r="W10" i="2" l="1"/>
  <c r="W12" i="2"/>
  <c r="K10" i="2"/>
  <c r="C8" i="3" s="1"/>
  <c r="L8" i="2"/>
  <c r="D6" i="3" s="1"/>
  <c r="E6" i="3" s="1"/>
  <c r="J6" i="3" s="1"/>
  <c r="W8" i="2"/>
  <c r="D8" i="3"/>
  <c r="F17" i="2"/>
  <c r="K12" i="2"/>
  <c r="C10" i="3" s="1"/>
  <c r="E10" i="3" s="1"/>
  <c r="J10" i="3" s="1"/>
  <c r="E3" i="4"/>
  <c r="E11" i="4"/>
  <c r="G5" i="4"/>
  <c r="E14" i="3"/>
  <c r="J14" i="3" s="1"/>
  <c r="E13" i="3"/>
  <c r="J13" i="3" s="1"/>
  <c r="E12" i="3"/>
  <c r="J12" i="3" s="1"/>
  <c r="E11" i="3"/>
  <c r="J11" i="3" s="1"/>
  <c r="E5" i="3"/>
  <c r="J5" i="3" s="1"/>
  <c r="E9" i="3"/>
  <c r="J9" i="3" s="1"/>
  <c r="E7" i="3"/>
  <c r="J7" i="3" s="1"/>
  <c r="W17" i="2" l="1"/>
  <c r="L19" i="2" s="1"/>
  <c r="L17" i="2"/>
  <c r="E8" i="3"/>
  <c r="J8" i="3" s="1"/>
  <c r="K17" i="2"/>
  <c r="F14" i="3"/>
  <c r="I14" i="3"/>
  <c r="G14" i="3"/>
  <c r="H14" i="3"/>
  <c r="H13" i="3"/>
  <c r="H12" i="3"/>
  <c r="I13" i="3"/>
  <c r="G12" i="3"/>
  <c r="I12" i="3"/>
  <c r="G13" i="3"/>
  <c r="G11" i="3"/>
  <c r="I10" i="3"/>
  <c r="H10" i="3"/>
  <c r="G10" i="3"/>
  <c r="I11" i="3"/>
  <c r="H11" i="3"/>
  <c r="G7" i="3"/>
  <c r="I7" i="3"/>
  <c r="H7" i="3"/>
  <c r="H6" i="3"/>
  <c r="I6" i="3"/>
  <c r="I9" i="3"/>
  <c r="H9" i="3"/>
  <c r="G5" i="3"/>
  <c r="I5" i="3"/>
  <c r="H5" i="3"/>
  <c r="F6" i="3"/>
  <c r="G6" i="3"/>
  <c r="F9" i="3"/>
  <c r="G9" i="3"/>
  <c r="F12" i="3"/>
  <c r="F7" i="3"/>
  <c r="F5" i="3"/>
  <c r="F13" i="3"/>
  <c r="F10" i="3"/>
  <c r="F11" i="3"/>
  <c r="L18" i="2" l="1"/>
  <c r="J20" i="2" s="1"/>
  <c r="F8" i="3"/>
  <c r="H8" i="3"/>
  <c r="I8" i="3"/>
  <c r="G8" i="3"/>
  <c r="K5" i="3"/>
  <c r="M7" i="2" s="1"/>
  <c r="K7" i="3"/>
  <c r="M9" i="2" s="1"/>
  <c r="K6" i="3"/>
  <c r="M8" i="2" s="1"/>
  <c r="K9" i="3"/>
  <c r="M11" i="2" s="1"/>
  <c r="L20" i="2" l="1"/>
  <c r="K8" i="3"/>
  <c r="M10" i="2" s="1"/>
  <c r="T10" i="2" s="1"/>
  <c r="G6" i="4"/>
  <c r="G11" i="4" s="1"/>
  <c r="T9" i="2"/>
  <c r="T8" i="2"/>
  <c r="T11" i="2"/>
  <c r="K10" i="3" l="1"/>
  <c r="V8" i="2"/>
  <c r="U8" i="2" s="1"/>
  <c r="V10" i="2"/>
  <c r="U10" i="2" s="1"/>
  <c r="V9" i="2"/>
  <c r="U9" i="2" s="1"/>
  <c r="V11" i="2"/>
  <c r="U11" i="2" s="1"/>
  <c r="T7" i="2"/>
  <c r="M12" i="2" l="1"/>
  <c r="K11" i="3"/>
  <c r="M13" i="2" s="1"/>
  <c r="T13" i="2" s="1"/>
  <c r="V13" i="2" s="1"/>
  <c r="U13" i="2" s="1"/>
  <c r="V7" i="2"/>
  <c r="U7" i="2" s="1"/>
  <c r="E12" i="4" s="1"/>
  <c r="E13" i="4" s="1"/>
  <c r="K12" i="3" l="1"/>
  <c r="M14" i="2" s="1"/>
  <c r="T14" i="2" s="1"/>
  <c r="V14" i="2" s="1"/>
  <c r="U14" i="2" s="1"/>
  <c r="T12" i="2"/>
  <c r="K13" i="3" l="1"/>
  <c r="M15" i="2" s="1"/>
  <c r="T15" i="2" s="1"/>
  <c r="V15" i="2" s="1"/>
  <c r="U15" i="2" s="1"/>
  <c r="K14" i="3"/>
  <c r="M16" i="2" s="1"/>
  <c r="T16" i="2" s="1"/>
  <c r="V16" i="2" s="1"/>
  <c r="U16" i="2" s="1"/>
  <c r="V12" i="2"/>
  <c r="K15" i="3" l="1"/>
  <c r="M17" i="2"/>
  <c r="T17" i="2"/>
  <c r="U12" i="2"/>
  <c r="U17" i="2" s="1"/>
  <c r="V17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LinkedTable_Table1" type="102" refreshedVersion="5" minRefreshableVersion="5">
    <extLst>
      <ext xmlns:x15="http://schemas.microsoft.com/office/spreadsheetml/2010/11/main" uri="{DE250136-89BD-433C-8126-D09CA5730AF9}">
        <x15:connection id="Table1-f6ccf117-0336-4e17-b28b-77110cbc0d51">
          <x15:rangePr sourceName="_xlcn.LinkedTable_Table11"/>
        </x15:connection>
      </ext>
    </extLst>
  </connection>
  <connection id="2" xr16:uid="{00000000-0015-0000-FFFF-FFFF01000000}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<sst xmlns="http://schemas.openxmlformats.org/spreadsheetml/2006/main" count="104" uniqueCount="81">
  <si>
    <t>نام</t>
  </si>
  <si>
    <t>نام خانوادگی</t>
  </si>
  <si>
    <t>شماره ملی</t>
  </si>
  <si>
    <t>حقوق پایه</t>
  </si>
  <si>
    <t>حق مسکن</t>
  </si>
  <si>
    <t>حق خواربار</t>
  </si>
  <si>
    <t>عائله مندی</t>
  </si>
  <si>
    <t>سایر مزایا (نسبت به کارکرد)</t>
  </si>
  <si>
    <t>نام کارمند</t>
  </si>
  <si>
    <t>کارکرد</t>
  </si>
  <si>
    <t xml:space="preserve">حقوق ثابت  </t>
  </si>
  <si>
    <t>اضافه کار</t>
  </si>
  <si>
    <t xml:space="preserve">جمع حقوق و مزایا </t>
  </si>
  <si>
    <t>عائله  مندی</t>
  </si>
  <si>
    <t>بن و مسکن</t>
  </si>
  <si>
    <t>سایر مزایا</t>
  </si>
  <si>
    <t>ساعت</t>
  </si>
  <si>
    <t>مبلغ</t>
  </si>
  <si>
    <t>7% حق بیمه</t>
  </si>
  <si>
    <t>مالیات</t>
  </si>
  <si>
    <t>قسط وام</t>
  </si>
  <si>
    <t>مساعده</t>
  </si>
  <si>
    <t>حقوق و مزایا</t>
  </si>
  <si>
    <t>کسر کار</t>
  </si>
  <si>
    <t>سایر کسورات</t>
  </si>
  <si>
    <t>جمع کسورات</t>
  </si>
  <si>
    <t>رند حقوق</t>
  </si>
  <si>
    <t>خالص دریافتی</t>
  </si>
  <si>
    <t>کسورات</t>
  </si>
  <si>
    <t>لیست حقوق و دستمزد</t>
  </si>
  <si>
    <t>سال</t>
  </si>
  <si>
    <t xml:space="preserve">دوره مربوط به ماه </t>
  </si>
  <si>
    <t>کد کارمند</t>
  </si>
  <si>
    <t>کد</t>
  </si>
  <si>
    <t>نام و نام خانوادگی</t>
  </si>
  <si>
    <t>سایر مزایا(عدد ثابت)</t>
  </si>
  <si>
    <t>دقیقه</t>
  </si>
  <si>
    <t xml:space="preserve">از </t>
  </si>
  <si>
    <t>تا</t>
  </si>
  <si>
    <t>جمع</t>
  </si>
  <si>
    <t>کارمند</t>
  </si>
  <si>
    <t>20% سهم کارفرما</t>
  </si>
  <si>
    <t>3% بیمه بیکاری</t>
  </si>
  <si>
    <t>حق بیمه پرداختنی</t>
  </si>
  <si>
    <t>جمع حقوق و مزایا</t>
  </si>
  <si>
    <t>ریز قرارداد کارکنان</t>
  </si>
  <si>
    <t>حقوق ثابت</t>
  </si>
  <si>
    <t>اضافه کاری</t>
  </si>
  <si>
    <t>بیمه سهم کارمند</t>
  </si>
  <si>
    <t>مالیات حقوق</t>
  </si>
  <si>
    <t>کارکرد ماهانه</t>
  </si>
  <si>
    <t>خالص پرداختی</t>
  </si>
  <si>
    <t>ريال</t>
  </si>
  <si>
    <t>کارکرد-روز</t>
  </si>
  <si>
    <t>کاوه</t>
  </si>
  <si>
    <t>علی</t>
  </si>
  <si>
    <t>حسینی</t>
  </si>
  <si>
    <t>رسانه آموزش لیموناد - limoonad.com</t>
  </si>
  <si>
    <t>احمد</t>
  </si>
  <si>
    <t>تابان</t>
  </si>
  <si>
    <t xml:space="preserve">مریم </t>
  </si>
  <si>
    <t>صدر</t>
  </si>
  <si>
    <t>کد پرسنلی</t>
  </si>
  <si>
    <t>مسعود</t>
  </si>
  <si>
    <t>کمانی</t>
  </si>
  <si>
    <t>بابا احمدی</t>
  </si>
  <si>
    <t>جمع هزینه پرداختی کارفرما</t>
  </si>
  <si>
    <t>ورود دیتا</t>
  </si>
  <si>
    <t>معافیت دو هفتم</t>
  </si>
  <si>
    <t>جمع کل</t>
  </si>
  <si>
    <t>مالیات (درصد)</t>
  </si>
  <si>
    <r>
      <t xml:space="preserve">حقوق و دستمزد </t>
    </r>
    <r>
      <rPr>
        <b/>
        <sz val="9"/>
        <color theme="1"/>
        <rFont val="IRANSansMobileFaNum Medium"/>
        <family val="2"/>
      </rPr>
      <t>(ريال)</t>
    </r>
  </si>
  <si>
    <r>
      <t xml:space="preserve">کسورات </t>
    </r>
    <r>
      <rPr>
        <b/>
        <sz val="9"/>
        <color theme="1"/>
        <rFont val="IRANSansMobileFaNum Medium"/>
        <family val="2"/>
      </rPr>
      <t>(ريال)</t>
    </r>
  </si>
  <si>
    <t>تاریخ</t>
  </si>
  <si>
    <t>پایه حقوق مشمول بیمه</t>
  </si>
  <si>
    <t>فروردین</t>
  </si>
  <si>
    <t>محاسبات مالیات حقوق</t>
  </si>
  <si>
    <t>حقو روزانه</t>
  </si>
  <si>
    <t>حداقل دستمزد سالانه</t>
  </si>
  <si>
    <t>نرم افزار اکسل رایگان حقوق و دستمزد لیموناد limoonad.com</t>
  </si>
  <si>
    <t>لطفاْ جهت فعال سازی فایل، ابتدا در نوار زرد رنگ بالا، روی گزینه Enable Editing  کلیک کنید سپس با دقت به سوالات زیر پاسخ دهید.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</si>
</sst>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_-* #,##0.00\-;_-* &quot;-&quot;??_-;_-@_-"/>
    <numFmt numFmtId="165" formatCode="_-* #,##0_-;_-* #,##0\-;_-* &quot;-&quot;??_-;_-@_-"/>
    <numFmt numFmtId="166" formatCode="#,##0.00_-;\(#,##0.0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IRANSansFaNum Medium"/>
      <family val="2"/>
    </font>
    <font>
      <sz val="11"/>
      <color theme="1"/>
      <name val="IRANSansFaNum Medium"/>
      <family val="2"/>
    </font>
    <font>
      <b/>
      <sz val="11"/>
      <color theme="1"/>
      <name val="IRANSansFaNum Medium"/>
      <family val="2"/>
    </font>
    <font>
      <b/>
      <sz val="12"/>
      <color theme="1"/>
      <name val="IRANSansFaNum Medium"/>
      <family val="2"/>
    </font>
    <font>
      <b/>
      <sz val="11"/>
      <color theme="0"/>
      <name val="IRANSansFaNum Medium"/>
      <family val="2"/>
    </font>
    <font>
      <sz val="14"/>
      <color theme="1"/>
      <name val="IRANSans(MonoSpacedNum) Medium"/>
      <family val="2"/>
    </font>
    <font>
      <sz val="11"/>
      <color theme="1"/>
      <name val="IRANSans(MonoSpacedNum) Medium"/>
      <family val="2"/>
    </font>
    <font>
      <sz val="10"/>
      <color theme="1"/>
      <name val="IRANSans(MonoSpacedNum) Medium"/>
      <family val="2"/>
    </font>
    <font>
      <sz val="11"/>
      <color theme="1" tint="0.499984740745262"/>
      <name val="IRANSans(MonoSpacedNum) Medium"/>
      <family val="2"/>
    </font>
    <font>
      <sz val="8"/>
      <color theme="1"/>
      <name val="IRANSans(MonoSpacedNum) Medium"/>
      <family val="2"/>
    </font>
    <font>
      <sz val="12"/>
      <color theme="1"/>
      <name val="IRANSans(MonoSpacedNum) Medium"/>
      <family val="2"/>
    </font>
    <font>
      <sz val="11"/>
      <color theme="0"/>
      <name val="IRANSans(MonoSpacedNum) Medium"/>
      <family val="2"/>
    </font>
    <font>
      <b/>
      <sz val="20"/>
      <color theme="0"/>
      <name val="IRANSansFaNum Medium"/>
      <family val="2"/>
    </font>
    <font>
      <b/>
      <sz val="14"/>
      <color theme="0"/>
      <name val="IRANSansFaNum Medium"/>
      <family val="2"/>
    </font>
    <font>
      <b/>
      <sz val="12"/>
      <color theme="1"/>
      <name val="IRANSansMobileFaNum Medium"/>
      <family val="2"/>
    </font>
    <font>
      <sz val="11"/>
      <color theme="1"/>
      <name val="IRANSansMobileFaNum Medium"/>
      <family val="2"/>
    </font>
    <font>
      <b/>
      <sz val="9"/>
      <color theme="1"/>
      <name val="IRANSansMobileFaNum Medium"/>
      <family val="2"/>
    </font>
    <font>
      <sz val="9"/>
      <color theme="1"/>
      <name val="IRANSansMobileFaNum Medium"/>
      <family val="2"/>
    </font>
    <font>
      <b/>
      <sz val="11"/>
      <color theme="1"/>
      <name val="IRANSansMobileFaNum Medium"/>
      <family val="2"/>
    </font>
    <font>
      <b/>
      <sz val="12"/>
      <color theme="0"/>
      <name val="IRANSansMobileFaNum Medium"/>
      <family val="2"/>
    </font>
    <font>
      <b/>
      <sz val="20"/>
      <color theme="8" tint="-0.249977111117893"/>
      <name val="B Nazanin"/>
      <charset val="178"/>
    </font>
    <font>
      <b/>
      <sz val="18"/>
      <color theme="1"/>
      <name val="IRANSansFaNum Black"/>
      <family val="2"/>
    </font>
    <font>
      <sz val="16"/>
      <color theme="1"/>
      <name val="IRANSansFaNum Black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F03FB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indexed="64"/>
      </right>
      <top/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37" fontId="3" fillId="0" borderId="8" xfId="1" applyNumberFormat="1" applyFont="1" applyBorder="1" applyAlignment="1" applyProtection="1">
      <alignment horizontal="center" vertical="center"/>
      <protection locked="0"/>
    </xf>
    <xf numFmtId="37" fontId="3" fillId="0" borderId="8" xfId="0" applyNumberFormat="1" applyFont="1" applyBorder="1" applyAlignment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  <protection locked="0"/>
    </xf>
    <xf numFmtId="49" fontId="3" fillId="5" borderId="8" xfId="0" applyNumberFormat="1" applyFont="1" applyFill="1" applyBorder="1" applyAlignment="1" applyProtection="1">
      <alignment horizontal="center" vertical="center"/>
      <protection locked="0"/>
    </xf>
    <xf numFmtId="37" fontId="3" fillId="5" borderId="8" xfId="1" applyNumberFormat="1" applyFont="1" applyFill="1" applyBorder="1" applyAlignment="1" applyProtection="1">
      <alignment horizontal="center" vertical="center"/>
      <protection locked="0"/>
    </xf>
    <xf numFmtId="37" fontId="3" fillId="5" borderId="8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165" fontId="6" fillId="7" borderId="8" xfId="1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locked="0"/>
    </xf>
    <xf numFmtId="165" fontId="8" fillId="0" borderId="4" xfId="1" applyNumberFormat="1" applyFont="1" applyBorder="1" applyAlignment="1">
      <alignment horizontal="center" vertical="center"/>
    </xf>
    <xf numFmtId="165" fontId="8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 readingOrder="2"/>
    </xf>
    <xf numFmtId="165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8" fontId="8" fillId="0" borderId="1" xfId="1" applyNumberFormat="1" applyFont="1" applyBorder="1" applyAlignment="1" applyProtection="1">
      <alignment horizontal="center" vertical="center"/>
      <protection hidden="1"/>
    </xf>
    <xf numFmtId="38" fontId="10" fillId="0" borderId="2" xfId="1" applyNumberFormat="1" applyFont="1" applyBorder="1" applyAlignment="1" applyProtection="1">
      <alignment horizontal="center" vertical="center"/>
      <protection locked="0"/>
    </xf>
    <xf numFmtId="38" fontId="10" fillId="0" borderId="3" xfId="1" applyNumberFormat="1" applyFont="1" applyBorder="1" applyAlignment="1" applyProtection="1">
      <alignment horizontal="center" vertical="center"/>
      <protection locked="0"/>
    </xf>
    <xf numFmtId="38" fontId="8" fillId="0" borderId="1" xfId="1" applyNumberFormat="1" applyFont="1" applyBorder="1" applyAlignment="1">
      <alignment horizontal="center" vertical="center"/>
    </xf>
    <xf numFmtId="38" fontId="8" fillId="0" borderId="1" xfId="0" applyNumberFormat="1" applyFont="1" applyBorder="1" applyAlignment="1" applyProtection="1">
      <alignment horizontal="center" vertical="center"/>
      <protection locked="0"/>
    </xf>
    <xf numFmtId="38" fontId="8" fillId="0" borderId="1" xfId="0" applyNumberFormat="1" applyFont="1" applyBorder="1" applyAlignment="1" applyProtection="1">
      <alignment horizontal="center" vertical="center"/>
      <protection hidden="1"/>
    </xf>
    <xf numFmtId="38" fontId="9" fillId="0" borderId="1" xfId="1" applyNumberFormat="1" applyFont="1" applyBorder="1" applyAlignment="1" applyProtection="1">
      <alignment horizontal="center" vertical="center"/>
      <protection hidden="1"/>
    </xf>
    <xf numFmtId="38" fontId="8" fillId="0" borderId="4" xfId="1" applyNumberFormat="1" applyFont="1" applyBorder="1" applyAlignment="1">
      <alignment horizontal="center" vertical="center"/>
    </xf>
    <xf numFmtId="38" fontId="11" fillId="0" borderId="4" xfId="1" applyNumberFormat="1" applyFont="1" applyBorder="1" applyAlignment="1">
      <alignment horizontal="center" vertical="center"/>
    </xf>
    <xf numFmtId="38" fontId="9" fillId="0" borderId="4" xfId="1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38" fontId="13" fillId="8" borderId="1" xfId="0" applyNumberFormat="1" applyFont="1" applyFill="1" applyBorder="1" applyAlignment="1" applyProtection="1">
      <alignment horizontal="center" vertical="center"/>
      <protection hidden="1"/>
    </xf>
    <xf numFmtId="165" fontId="9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horizontal="center" vertical="center"/>
    </xf>
    <xf numFmtId="165" fontId="8" fillId="9" borderId="1" xfId="1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11" borderId="8" xfId="0" applyFont="1" applyFill="1" applyBorder="1" applyAlignment="1" applyProtection="1">
      <alignment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hidden="1"/>
    </xf>
    <xf numFmtId="37" fontId="3" fillId="2" borderId="8" xfId="1" applyNumberFormat="1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37" fontId="3" fillId="0" borderId="8" xfId="1" applyNumberFormat="1" applyFont="1" applyBorder="1" applyAlignment="1" applyProtection="1">
      <alignment horizontal="center" vertical="center"/>
      <protection hidden="1"/>
    </xf>
    <xf numFmtId="37" fontId="3" fillId="0" borderId="8" xfId="1" applyNumberFormat="1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37" fontId="3" fillId="2" borderId="10" xfId="1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37" fontId="4" fillId="0" borderId="12" xfId="0" applyNumberFormat="1" applyFont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>
      <alignment horizontal="center" vertical="center"/>
    </xf>
    <xf numFmtId="37" fontId="4" fillId="2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hidden="1"/>
    </xf>
    <xf numFmtId="37" fontId="3" fillId="0" borderId="14" xfId="1" applyNumberFormat="1" applyFont="1" applyBorder="1" applyAlignment="1" applyProtection="1">
      <alignment horizontal="center" vertical="center"/>
      <protection hidden="1"/>
    </xf>
    <xf numFmtId="37" fontId="3" fillId="0" borderId="14" xfId="1" applyNumberFormat="1" applyFont="1" applyFill="1" applyBorder="1" applyAlignment="1" applyProtection="1">
      <alignment horizontal="center" vertical="center"/>
      <protection hidden="1"/>
    </xf>
    <xf numFmtId="37" fontId="4" fillId="0" borderId="15" xfId="0" applyNumberFormat="1" applyFont="1" applyBorder="1" applyAlignment="1" applyProtection="1">
      <alignment horizontal="center" vertical="center"/>
      <protection hidden="1"/>
    </xf>
    <xf numFmtId="37" fontId="4" fillId="2" borderId="18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37" fontId="4" fillId="2" borderId="20" xfId="0" applyNumberFormat="1" applyFont="1" applyFill="1" applyBorder="1" applyAlignment="1" applyProtection="1">
      <alignment horizontal="center" vertical="center"/>
      <protection hidden="1"/>
    </xf>
    <xf numFmtId="165" fontId="4" fillId="12" borderId="8" xfId="1" applyNumberFormat="1" applyFont="1" applyFill="1" applyBorder="1" applyAlignment="1">
      <alignment horizontal="center" vertical="center"/>
    </xf>
    <xf numFmtId="37" fontId="4" fillId="12" borderId="8" xfId="1" applyNumberFormat="1" applyFont="1" applyFill="1" applyBorder="1" applyAlignment="1">
      <alignment horizontal="center" vertical="center"/>
    </xf>
    <xf numFmtId="0" fontId="3" fillId="12" borderId="23" xfId="0" applyFont="1" applyFill="1" applyBorder="1" applyAlignment="1">
      <alignment horizontal="center" vertical="center" wrapText="1"/>
    </xf>
    <xf numFmtId="0" fontId="4" fillId="12" borderId="23" xfId="0" applyFont="1" applyFill="1" applyBorder="1" applyAlignment="1">
      <alignment horizontal="center" vertical="center"/>
    </xf>
    <xf numFmtId="9" fontId="4" fillId="12" borderId="2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7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33" xfId="0" applyFont="1" applyBorder="1" applyAlignment="1">
      <alignment vertical="center"/>
    </xf>
    <xf numFmtId="0" fontId="17" fillId="0" borderId="5" xfId="0" applyFont="1" applyBorder="1" applyAlignment="1" applyProtection="1">
      <alignment vertical="center"/>
      <protection locked="0"/>
    </xf>
    <xf numFmtId="0" fontId="16" fillId="0" borderId="5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34" xfId="0" applyFont="1" applyBorder="1" applyAlignment="1">
      <alignment horizontal="right" vertical="center"/>
    </xf>
    <xf numFmtId="0" fontId="16" fillId="0" borderId="37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38" xfId="0" applyFont="1" applyBorder="1" applyAlignment="1">
      <alignment horizontal="center" vertical="center"/>
    </xf>
    <xf numFmtId="37" fontId="17" fillId="0" borderId="43" xfId="1" applyNumberFormat="1" applyFont="1" applyBorder="1" applyAlignment="1">
      <alignment horizontal="center" vertical="center"/>
    </xf>
    <xf numFmtId="37" fontId="17" fillId="0" borderId="44" xfId="1" applyNumberFormat="1" applyFont="1" applyBorder="1" applyAlignment="1">
      <alignment horizontal="center" vertical="center"/>
    </xf>
    <xf numFmtId="37" fontId="17" fillId="0" borderId="45" xfId="1" applyNumberFormat="1" applyFont="1" applyBorder="1" applyAlignment="1">
      <alignment horizontal="center" vertical="center"/>
    </xf>
    <xf numFmtId="37" fontId="17" fillId="0" borderId="38" xfId="1" applyNumberFormat="1" applyFont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37" fontId="17" fillId="0" borderId="32" xfId="1" applyNumberFormat="1" applyFont="1" applyBorder="1" applyAlignment="1">
      <alignment horizontal="center" vertical="center"/>
    </xf>
    <xf numFmtId="165" fontId="19" fillId="0" borderId="32" xfId="1" applyNumberFormat="1" applyFont="1" applyBorder="1" applyAlignment="1">
      <alignment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165" fontId="8" fillId="0" borderId="4" xfId="1" applyNumberFormat="1" applyFont="1" applyBorder="1" applyAlignment="1">
      <alignment horizontal="center" vertical="center"/>
    </xf>
    <xf numFmtId="165" fontId="8" fillId="11" borderId="8" xfId="1" applyNumberFormat="1" applyFont="1" applyFill="1" applyBorder="1" applyAlignment="1" applyProtection="1">
      <alignment horizontal="center" vertical="center"/>
      <protection locked="0"/>
    </xf>
    <xf numFmtId="165" fontId="8" fillId="2" borderId="8" xfId="1" applyNumberFormat="1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11" borderId="8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/>
    </xf>
    <xf numFmtId="0" fontId="13" fillId="10" borderId="9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165" fontId="8" fillId="9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readingOrder="2"/>
    </xf>
    <xf numFmtId="0" fontId="13" fillId="8" borderId="9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165" fontId="8" fillId="9" borderId="9" xfId="1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4" fillId="8" borderId="24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center" vertical="center"/>
    </xf>
    <xf numFmtId="0" fontId="14" fillId="8" borderId="26" xfId="0" applyFont="1" applyFill="1" applyBorder="1" applyAlignment="1">
      <alignment horizontal="center" vertical="center"/>
    </xf>
    <xf numFmtId="0" fontId="15" fillId="8" borderId="27" xfId="0" applyFont="1" applyFill="1" applyBorder="1" applyAlignment="1">
      <alignment horizontal="center" vertical="center"/>
    </xf>
    <xf numFmtId="0" fontId="15" fillId="8" borderId="28" xfId="0" applyFont="1" applyFill="1" applyBorder="1" applyAlignment="1">
      <alignment horizontal="center" vertical="center"/>
    </xf>
    <xf numFmtId="0" fontId="15" fillId="8" borderId="29" xfId="0" applyFont="1" applyFill="1" applyBorder="1" applyAlignment="1">
      <alignment horizontal="center" vertical="center"/>
    </xf>
    <xf numFmtId="165" fontId="4" fillId="12" borderId="8" xfId="1" applyNumberFormat="1" applyFont="1" applyFill="1" applyBorder="1" applyAlignment="1">
      <alignment horizontal="center" vertical="center"/>
    </xf>
    <xf numFmtId="165" fontId="4" fillId="12" borderId="23" xfId="1" applyNumberFormat="1" applyFont="1" applyFill="1" applyBorder="1" applyAlignment="1">
      <alignment horizontal="center" vertical="center"/>
    </xf>
    <xf numFmtId="0" fontId="4" fillId="12" borderId="21" xfId="0" applyFont="1" applyFill="1" applyBorder="1" applyAlignment="1">
      <alignment horizontal="center" vertical="center"/>
    </xf>
    <xf numFmtId="0" fontId="4" fillId="12" borderId="22" xfId="0" applyFont="1" applyFill="1" applyBorder="1" applyAlignment="1">
      <alignment horizontal="center" vertical="center"/>
    </xf>
    <xf numFmtId="165" fontId="4" fillId="12" borderId="8" xfId="1" applyNumberFormat="1" applyFont="1" applyFill="1" applyBorder="1" applyAlignment="1">
      <alignment horizontal="center" vertical="center" wrapText="1"/>
    </xf>
    <xf numFmtId="165" fontId="4" fillId="12" borderId="23" xfId="1" applyNumberFormat="1" applyFont="1" applyFill="1" applyBorder="1" applyAlignment="1">
      <alignment horizontal="center" vertical="center" wrapText="1"/>
    </xf>
    <xf numFmtId="0" fontId="21" fillId="7" borderId="35" xfId="0" applyFont="1" applyFill="1" applyBorder="1" applyAlignment="1">
      <alignment horizontal="center" vertical="center"/>
    </xf>
    <xf numFmtId="0" fontId="21" fillId="7" borderId="42" xfId="0" applyFont="1" applyFill="1" applyBorder="1" applyAlignment="1">
      <alignment horizontal="center" vertical="center"/>
    </xf>
    <xf numFmtId="0" fontId="21" fillId="7" borderId="36" xfId="0" applyFont="1" applyFill="1" applyBorder="1" applyAlignment="1">
      <alignment horizontal="center" vertical="center"/>
    </xf>
    <xf numFmtId="165" fontId="20" fillId="0" borderId="40" xfId="1" applyNumberFormat="1" applyFont="1" applyBorder="1" applyAlignment="1">
      <alignment horizontal="right" vertical="center" wrapText="1" readingOrder="1"/>
    </xf>
    <xf numFmtId="0" fontId="18" fillId="0" borderId="35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166" fontId="19" fillId="0" borderId="42" xfId="1" applyNumberFormat="1" applyFont="1" applyBorder="1" applyAlignment="1" applyProtection="1">
      <alignment horizontal="center" vertical="center"/>
      <protection hidden="1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2" fillId="0" borderId="0" xfId="0" applyFont="1" applyAlignment="1" applyProtection="1">
      <alignment horizontal="center" vertical="center" shrinkToFit="1"/>
      <protection hidden="1"/>
    </xf>
    <xf numFmtId="0" fontId="23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3" fillId="9" borderId="47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165" fontId="3" fillId="0" borderId="0" xfId="1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7" fontId="3" fillId="0" borderId="47" xfId="1" applyNumberFormat="1" applyFont="1" applyFill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7F03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openxmlformats.org/officeDocument/2006/relationships/theme" Target="theme/theme1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10" Type="http://schemas.openxmlformats.org/officeDocument/2006/relationships/calcChain" Target="calcChain.xml"/><Relationship Id="rId19" Type="http://schemas.openxmlformats.org/officeDocument/2006/relationships/customXml" Target="../customXml/item9.xml"/><Relationship Id="rId4" Type="http://schemas.openxmlformats.org/officeDocument/2006/relationships/worksheet" Target="worksheets/sheet4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8"/>
  <sheetViews>
    <sheetView rightToLeft="1" tabSelected="1" zoomScaleNormal="100" workbookViewId="0">
      <selection activeCell="J9" sqref="J9"/>
    </sheetView>
  </sheetViews>
  <sheetFormatPr defaultRowHeight="19.5" x14ac:dyDescent="0.25"/>
  <cols>
    <col min="1" max="1" width="11.28515625" style="3" bestFit="1" customWidth="1"/>
    <col min="2" max="3" width="17.28515625" style="3" customWidth="1"/>
    <col min="4" max="4" width="15.28515625" style="3" customWidth="1"/>
    <col min="5" max="5" width="16.28515625" style="6" bestFit="1" customWidth="1"/>
    <col min="6" max="6" width="13.140625" style="6" bestFit="1" customWidth="1"/>
    <col min="7" max="7" width="13.7109375" style="6" bestFit="1" customWidth="1"/>
    <col min="8" max="8" width="16.42578125" style="6" bestFit="1" customWidth="1"/>
    <col min="9" max="10" width="17.140625" style="3" customWidth="1"/>
    <col min="11" max="11" width="19.28515625" style="3" bestFit="1" customWidth="1"/>
    <col min="12" max="12" width="12.85546875" style="3" bestFit="1" customWidth="1"/>
    <col min="13" max="14" width="9.140625" style="3"/>
    <col min="15" max="15" width="19.85546875" style="3" bestFit="1" customWidth="1"/>
    <col min="16" max="16" width="12.85546875" style="3" bestFit="1" customWidth="1"/>
    <col min="17" max="16384" width="9.140625" style="3"/>
  </cols>
  <sheetData>
    <row r="1" spans="1:16" ht="45" customHeight="1" x14ac:dyDescent="0.25">
      <c r="A1" s="152" t="s">
        <v>79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6" ht="30" x14ac:dyDescent="0.25">
      <c r="A2" s="154" t="s">
        <v>80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4" spans="1:16" ht="53.25" customHeight="1" x14ac:dyDescent="0.25">
      <c r="A4" s="155" t="s">
        <v>78</v>
      </c>
      <c r="B4" s="155"/>
      <c r="C4" s="155"/>
      <c r="D4" s="14">
        <v>1769428</v>
      </c>
    </row>
    <row r="5" spans="1:16" s="158" customFormat="1" ht="16.5" customHeight="1" x14ac:dyDescent="0.25">
      <c r="A5" s="156"/>
      <c r="B5" s="156"/>
      <c r="C5" s="156"/>
      <c r="D5" s="159"/>
      <c r="E5" s="157"/>
      <c r="F5" s="157"/>
      <c r="G5" s="157"/>
      <c r="H5" s="157"/>
    </row>
    <row r="6" spans="1:16" ht="30" x14ac:dyDescent="0.25">
      <c r="A6" s="150" t="s">
        <v>45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16" s="4" customFormat="1" ht="58.5" x14ac:dyDescent="0.25">
      <c r="A7" s="16" t="s">
        <v>62</v>
      </c>
      <c r="B7" s="16" t="s">
        <v>0</v>
      </c>
      <c r="C7" s="16" t="s">
        <v>1</v>
      </c>
      <c r="D7" s="16" t="s">
        <v>2</v>
      </c>
      <c r="E7" s="17" t="s">
        <v>3</v>
      </c>
      <c r="F7" s="17" t="s">
        <v>4</v>
      </c>
      <c r="G7" s="17" t="s">
        <v>5</v>
      </c>
      <c r="H7" s="17" t="s">
        <v>6</v>
      </c>
      <c r="I7" s="18" t="s">
        <v>7</v>
      </c>
      <c r="J7" s="18" t="s">
        <v>35</v>
      </c>
      <c r="K7" s="16" t="s">
        <v>44</v>
      </c>
      <c r="L7" s="16" t="s">
        <v>77</v>
      </c>
      <c r="O7" s="4" t="s">
        <v>34</v>
      </c>
      <c r="P7" s="4" t="s">
        <v>14</v>
      </c>
    </row>
    <row r="8" spans="1:16" ht="27" customHeight="1" x14ac:dyDescent="0.25">
      <c r="A8" s="7">
        <v>1</v>
      </c>
      <c r="B8" s="8" t="s">
        <v>55</v>
      </c>
      <c r="C8" s="8" t="s">
        <v>56</v>
      </c>
      <c r="D8" s="9"/>
      <c r="E8" s="10">
        <v>53082840</v>
      </c>
      <c r="F8" s="10">
        <v>9000000</v>
      </c>
      <c r="G8" s="10">
        <v>11000000</v>
      </c>
      <c r="H8" s="10">
        <v>0</v>
      </c>
      <c r="I8" s="10">
        <v>2100000</v>
      </c>
      <c r="J8" s="10">
        <v>100000000</v>
      </c>
      <c r="K8" s="11">
        <f>SUM(E8:J8)</f>
        <v>175182840</v>
      </c>
      <c r="L8" s="11">
        <f>E8/30</f>
        <v>1769428</v>
      </c>
      <c r="O8" s="3" t="str">
        <f>CONCATENATE(B8," ",C8)</f>
        <v>علی حسینی</v>
      </c>
      <c r="P8" s="5">
        <f>F8+G8</f>
        <v>20000000</v>
      </c>
    </row>
    <row r="9" spans="1:16" ht="27" customHeight="1" x14ac:dyDescent="0.25">
      <c r="A9" s="7">
        <v>2</v>
      </c>
      <c r="B9" s="12" t="s">
        <v>58</v>
      </c>
      <c r="C9" s="12" t="s">
        <v>59</v>
      </c>
      <c r="D9" s="13"/>
      <c r="E9" s="14">
        <v>53082840</v>
      </c>
      <c r="F9" s="14">
        <v>9000000</v>
      </c>
      <c r="G9" s="14">
        <v>11000000</v>
      </c>
      <c r="H9" s="14">
        <v>0</v>
      </c>
      <c r="I9" s="14">
        <v>0</v>
      </c>
      <c r="J9" s="14">
        <v>0</v>
      </c>
      <c r="K9" s="15">
        <f>SUM(E9:J9)</f>
        <v>73082840</v>
      </c>
      <c r="L9" s="15">
        <f>E9/30</f>
        <v>1769428</v>
      </c>
      <c r="O9" s="3" t="str">
        <f>CONCATENATE(B9," ",C9)</f>
        <v>احمد تابان</v>
      </c>
      <c r="P9" s="5">
        <f>F9+G9</f>
        <v>20000000</v>
      </c>
    </row>
    <row r="10" spans="1:16" ht="27" customHeight="1" x14ac:dyDescent="0.25">
      <c r="A10" s="7">
        <v>3</v>
      </c>
      <c r="B10" s="8" t="s">
        <v>60</v>
      </c>
      <c r="C10" s="8" t="s">
        <v>61</v>
      </c>
      <c r="D10" s="9"/>
      <c r="E10" s="10">
        <v>53082840</v>
      </c>
      <c r="F10" s="10">
        <v>9000000</v>
      </c>
      <c r="G10" s="10">
        <v>11000000</v>
      </c>
      <c r="H10" s="10">
        <v>0</v>
      </c>
      <c r="I10" s="10">
        <v>0</v>
      </c>
      <c r="J10" s="10">
        <v>0</v>
      </c>
      <c r="K10" s="11">
        <f t="shared" ref="K10:K17" si="0">SUM(E10:J10)</f>
        <v>73082840</v>
      </c>
      <c r="L10" s="11">
        <f>E10/30</f>
        <v>1769428</v>
      </c>
      <c r="O10" s="3" t="str">
        <f>CONCATENATE(B10," ",C10)</f>
        <v>مریم  صدر</v>
      </c>
      <c r="P10" s="5">
        <f>F10+G10</f>
        <v>20000000</v>
      </c>
    </row>
    <row r="11" spans="1:16" ht="27" customHeight="1" x14ac:dyDescent="0.25">
      <c r="A11" s="7">
        <v>4</v>
      </c>
      <c r="B11" s="12" t="s">
        <v>63</v>
      </c>
      <c r="C11" s="12" t="s">
        <v>64</v>
      </c>
      <c r="D11" s="13"/>
      <c r="E11" s="14">
        <v>53082840</v>
      </c>
      <c r="F11" s="14">
        <v>9000000</v>
      </c>
      <c r="G11" s="14">
        <v>11000000</v>
      </c>
      <c r="H11" s="14">
        <v>0</v>
      </c>
      <c r="I11" s="14">
        <v>0</v>
      </c>
      <c r="J11" s="14">
        <v>0</v>
      </c>
      <c r="K11" s="15">
        <f t="shared" si="0"/>
        <v>73082840</v>
      </c>
      <c r="L11" s="15">
        <f>E11/30</f>
        <v>1769428</v>
      </c>
      <c r="O11" s="3" t="str">
        <f>CONCATENATE(B11," ",C11)</f>
        <v>مسعود کمانی</v>
      </c>
      <c r="P11" s="5">
        <f>F11+G11</f>
        <v>20000000</v>
      </c>
    </row>
    <row r="12" spans="1:16" ht="27" customHeight="1" x14ac:dyDescent="0.25">
      <c r="A12" s="7">
        <v>5</v>
      </c>
      <c r="B12" s="8" t="s">
        <v>54</v>
      </c>
      <c r="C12" s="8" t="s">
        <v>65</v>
      </c>
      <c r="D12" s="9"/>
      <c r="E12" s="10">
        <v>53082840</v>
      </c>
      <c r="F12" s="10">
        <v>9000000</v>
      </c>
      <c r="G12" s="10">
        <v>11000000</v>
      </c>
      <c r="H12" s="10">
        <v>0</v>
      </c>
      <c r="I12" s="10">
        <v>0</v>
      </c>
      <c r="J12" s="10">
        <v>0</v>
      </c>
      <c r="K12" s="11">
        <f t="shared" si="0"/>
        <v>73082840</v>
      </c>
      <c r="L12" s="11">
        <f>E12/30</f>
        <v>1769428</v>
      </c>
      <c r="O12" s="3" t="str">
        <f>CONCATENATE(B12," ",C12)</f>
        <v>کاوه بابا احمدی</v>
      </c>
      <c r="P12" s="5">
        <f>F12+G12</f>
        <v>20000000</v>
      </c>
    </row>
    <row r="13" spans="1:16" ht="27" customHeight="1" x14ac:dyDescent="0.25">
      <c r="A13" s="7">
        <v>6</v>
      </c>
      <c r="B13" s="12"/>
      <c r="C13" s="12"/>
      <c r="D13" s="13"/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5">
        <f t="shared" si="0"/>
        <v>0</v>
      </c>
      <c r="L13" s="15">
        <f>E13/30</f>
        <v>0</v>
      </c>
      <c r="O13" s="3" t="str">
        <f>CONCATENATE(B13," ",C13)</f>
        <v xml:space="preserve"> </v>
      </c>
      <c r="P13" s="5">
        <f>F13+G13</f>
        <v>0</v>
      </c>
    </row>
    <row r="14" spans="1:16" ht="27" customHeight="1" x14ac:dyDescent="0.25">
      <c r="A14" s="7">
        <v>7</v>
      </c>
      <c r="B14" s="8"/>
      <c r="C14" s="8"/>
      <c r="D14" s="9"/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1">
        <f t="shared" si="0"/>
        <v>0</v>
      </c>
      <c r="L14" s="11">
        <f>E14/30</f>
        <v>0</v>
      </c>
      <c r="O14" s="3" t="str">
        <f>CONCATENATE(B14," ",C14)</f>
        <v xml:space="preserve"> </v>
      </c>
      <c r="P14" s="5">
        <f>F14+G14</f>
        <v>0</v>
      </c>
    </row>
    <row r="15" spans="1:16" ht="27" customHeight="1" x14ac:dyDescent="0.25">
      <c r="A15" s="7">
        <v>8</v>
      </c>
      <c r="B15" s="12"/>
      <c r="C15" s="12"/>
      <c r="D15" s="13"/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5">
        <f t="shared" si="0"/>
        <v>0</v>
      </c>
      <c r="L15" s="15">
        <f>E15/30</f>
        <v>0</v>
      </c>
      <c r="O15" s="3" t="str">
        <f>CONCATENATE(B15," ",C15)</f>
        <v xml:space="preserve"> </v>
      </c>
      <c r="P15" s="5">
        <f>F15+G15</f>
        <v>0</v>
      </c>
    </row>
    <row r="16" spans="1:16" ht="27" customHeight="1" x14ac:dyDescent="0.25">
      <c r="A16" s="7">
        <v>9</v>
      </c>
      <c r="B16" s="8"/>
      <c r="C16" s="8"/>
      <c r="D16" s="9"/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1">
        <f t="shared" si="0"/>
        <v>0</v>
      </c>
      <c r="L16" s="11">
        <f>E16/30</f>
        <v>0</v>
      </c>
      <c r="O16" s="3" t="str">
        <f>CONCATENATE(B16," ",C16)</f>
        <v xml:space="preserve"> </v>
      </c>
      <c r="P16" s="5">
        <f>F16+G16</f>
        <v>0</v>
      </c>
    </row>
    <row r="17" spans="1:16" ht="27" customHeight="1" x14ac:dyDescent="0.25">
      <c r="A17" s="7">
        <v>10</v>
      </c>
      <c r="B17" s="12"/>
      <c r="C17" s="12"/>
      <c r="D17" s="13"/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5">
        <f t="shared" si="0"/>
        <v>0</v>
      </c>
      <c r="L17" s="15">
        <f>E17/30</f>
        <v>0</v>
      </c>
      <c r="O17" s="3" t="str">
        <f>CONCATENATE(B17," ",C17)</f>
        <v xml:space="preserve"> </v>
      </c>
      <c r="P17" s="5">
        <f>F17+G17</f>
        <v>0</v>
      </c>
    </row>
    <row r="18" spans="1:16" x14ac:dyDescent="0.25">
      <c r="F18" s="10"/>
      <c r="G18" s="10"/>
      <c r="H18" s="10"/>
      <c r="I18" s="10"/>
      <c r="J18" s="10"/>
    </row>
  </sheetData>
  <sheetProtection selectLockedCells="1"/>
  <mergeCells count="4">
    <mergeCell ref="A6:L6"/>
    <mergeCell ref="A1:L1"/>
    <mergeCell ref="A2:L2"/>
    <mergeCell ref="A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21"/>
  <sheetViews>
    <sheetView rightToLeft="1" view="pageBreakPreview" topLeftCell="A5" zoomScaleNormal="100" zoomScaleSheetLayoutView="100" workbookViewId="0">
      <selection activeCell="I8" sqref="I8"/>
    </sheetView>
  </sheetViews>
  <sheetFormatPr defaultColWidth="9" defaultRowHeight="19.5" x14ac:dyDescent="0.25"/>
  <cols>
    <col min="1" max="1" width="6.5703125" style="20" customWidth="1"/>
    <col min="2" max="2" width="14.7109375" style="20" bestFit="1" customWidth="1"/>
    <col min="3" max="3" width="8.85546875" style="20" bestFit="1" customWidth="1"/>
    <col min="4" max="4" width="14.85546875" style="26" bestFit="1" customWidth="1"/>
    <col min="5" max="5" width="14.28515625" style="26" customWidth="1"/>
    <col min="6" max="6" width="15" style="26" bestFit="1" customWidth="1"/>
    <col min="7" max="7" width="14.28515625" style="26" customWidth="1"/>
    <col min="8" max="9" width="6" style="26" customWidth="1"/>
    <col min="10" max="10" width="15.42578125" style="26" bestFit="1" customWidth="1"/>
    <col min="11" max="11" width="16.85546875" style="20" bestFit="1" customWidth="1"/>
    <col min="12" max="12" width="15.42578125" style="20" bestFit="1" customWidth="1"/>
    <col min="13" max="13" width="16.42578125" style="20" bestFit="1" customWidth="1"/>
    <col min="14" max="15" width="14.28515625" style="20" customWidth="1"/>
    <col min="16" max="16" width="6" style="26" customWidth="1"/>
    <col min="17" max="17" width="6" style="20" customWidth="1"/>
    <col min="18" max="20" width="14.28515625" style="20" customWidth="1"/>
    <col min="21" max="21" width="10.140625" style="29" customWidth="1"/>
    <col min="22" max="22" width="14.85546875" style="20" bestFit="1" customWidth="1"/>
    <col min="23" max="23" width="18.42578125" style="20" bestFit="1" customWidth="1"/>
    <col min="24" max="16384" width="9" style="20"/>
  </cols>
  <sheetData>
    <row r="1" spans="1:23" s="19" customFormat="1" ht="24" x14ac:dyDescent="0.25">
      <c r="A1" s="100" t="s">
        <v>57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:23" s="19" customFormat="1" ht="24" x14ac:dyDescent="0.25">
      <c r="A2" s="100" t="s">
        <v>29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 t="s">
        <v>31</v>
      </c>
      <c r="U2" s="100"/>
      <c r="V2" s="100"/>
    </row>
    <row r="3" spans="1:23" ht="20.25" x14ac:dyDescent="0.25">
      <c r="A3" s="105"/>
      <c r="B3" s="105"/>
      <c r="C3" s="46" t="s">
        <v>67</v>
      </c>
      <c r="D3" s="102"/>
      <c r="E3" s="102"/>
      <c r="F3" s="102"/>
      <c r="G3" s="102"/>
      <c r="H3" s="103" t="s">
        <v>67</v>
      </c>
      <c r="I3" s="103"/>
      <c r="J3" s="102"/>
      <c r="K3" s="102"/>
      <c r="L3" s="102"/>
      <c r="M3" s="102"/>
      <c r="N3" s="104" t="s">
        <v>67</v>
      </c>
      <c r="O3" s="104"/>
      <c r="P3" s="104"/>
      <c r="Q3" s="104"/>
      <c r="R3" s="47"/>
      <c r="S3" s="46" t="s">
        <v>67</v>
      </c>
      <c r="T3" s="46" t="s">
        <v>75</v>
      </c>
      <c r="U3" s="48" t="s">
        <v>30</v>
      </c>
      <c r="V3" s="46">
        <v>1402</v>
      </c>
    </row>
    <row r="4" spans="1:23" x14ac:dyDescent="0.25">
      <c r="A4" s="114" t="s">
        <v>32</v>
      </c>
      <c r="B4" s="116" t="s">
        <v>8</v>
      </c>
      <c r="C4" s="116" t="s">
        <v>9</v>
      </c>
      <c r="D4" s="122" t="s">
        <v>22</v>
      </c>
      <c r="E4" s="122"/>
      <c r="F4" s="122"/>
      <c r="G4" s="122"/>
      <c r="H4" s="122"/>
      <c r="I4" s="122"/>
      <c r="J4" s="122"/>
      <c r="K4" s="120" t="s">
        <v>12</v>
      </c>
      <c r="L4" s="113" t="s">
        <v>28</v>
      </c>
      <c r="M4" s="113"/>
      <c r="N4" s="113"/>
      <c r="O4" s="113"/>
      <c r="P4" s="113"/>
      <c r="Q4" s="113"/>
      <c r="R4" s="113"/>
      <c r="S4" s="113"/>
      <c r="T4" s="107" t="s">
        <v>25</v>
      </c>
      <c r="U4" s="109" t="s">
        <v>26</v>
      </c>
      <c r="V4" s="111" t="s">
        <v>27</v>
      </c>
      <c r="W4" s="97" t="s">
        <v>74</v>
      </c>
    </row>
    <row r="5" spans="1:23" x14ac:dyDescent="0.25">
      <c r="A5" s="115"/>
      <c r="B5" s="117"/>
      <c r="C5" s="117"/>
      <c r="D5" s="118" t="s">
        <v>10</v>
      </c>
      <c r="E5" s="118" t="s">
        <v>13</v>
      </c>
      <c r="F5" s="118" t="s">
        <v>14</v>
      </c>
      <c r="G5" s="118" t="s">
        <v>15</v>
      </c>
      <c r="H5" s="118" t="s">
        <v>11</v>
      </c>
      <c r="I5" s="118"/>
      <c r="J5" s="118"/>
      <c r="K5" s="121"/>
      <c r="L5" s="119" t="s">
        <v>18</v>
      </c>
      <c r="M5" s="119" t="s">
        <v>19</v>
      </c>
      <c r="N5" s="119" t="s">
        <v>20</v>
      </c>
      <c r="O5" s="119" t="s">
        <v>21</v>
      </c>
      <c r="P5" s="106" t="s">
        <v>23</v>
      </c>
      <c r="Q5" s="106"/>
      <c r="R5" s="106"/>
      <c r="S5" s="106" t="s">
        <v>24</v>
      </c>
      <c r="T5" s="108"/>
      <c r="U5" s="110"/>
      <c r="V5" s="112"/>
      <c r="W5" s="97"/>
    </row>
    <row r="6" spans="1:23" x14ac:dyDescent="0.25">
      <c r="A6" s="115"/>
      <c r="B6" s="117"/>
      <c r="C6" s="117"/>
      <c r="D6" s="118"/>
      <c r="E6" s="118"/>
      <c r="F6" s="118"/>
      <c r="G6" s="118"/>
      <c r="H6" s="43" t="s">
        <v>36</v>
      </c>
      <c r="I6" s="44" t="s">
        <v>16</v>
      </c>
      <c r="J6" s="45" t="s">
        <v>17</v>
      </c>
      <c r="K6" s="121"/>
      <c r="L6" s="119"/>
      <c r="M6" s="119"/>
      <c r="N6" s="119"/>
      <c r="O6" s="119"/>
      <c r="P6" s="40" t="s">
        <v>36</v>
      </c>
      <c r="Q6" s="40" t="s">
        <v>16</v>
      </c>
      <c r="R6" s="21" t="s">
        <v>17</v>
      </c>
      <c r="S6" s="106"/>
      <c r="T6" s="108"/>
      <c r="U6" s="110"/>
      <c r="V6" s="112"/>
      <c r="W6" s="98"/>
    </row>
    <row r="7" spans="1:23" ht="24.6" customHeight="1" x14ac:dyDescent="0.25">
      <c r="A7" s="22">
        <v>1</v>
      </c>
      <c r="B7" s="23" t="str">
        <f>VLOOKUP(A7,قرارداد!A:O,15,0)</f>
        <v>علی حسینی</v>
      </c>
      <c r="C7" s="24">
        <v>31</v>
      </c>
      <c r="D7" s="30">
        <f>((VLOOKUP(A7,قرارداد!A:E,5,0))/30)*C7</f>
        <v>54852268</v>
      </c>
      <c r="E7" s="30">
        <f>(VLOOKUP(A7,قرارداد!A:H,8,0))/30*IF(C7&gt;30,30,C7)</f>
        <v>0</v>
      </c>
      <c r="F7" s="30">
        <f>(VLOOKUP(A7,قرارداد!A:P,16,0))/30*IF(C7&gt;30,30,C7)</f>
        <v>20000000</v>
      </c>
      <c r="G7" s="30">
        <f>(VLOOKUP(A7,قرارداد!A:I,9,0))/30*C7+VLOOKUP(A7,قرارداد!A:J,10,0)</f>
        <v>102170000</v>
      </c>
      <c r="H7" s="31">
        <v>0</v>
      </c>
      <c r="I7" s="32">
        <v>350</v>
      </c>
      <c r="J7" s="33">
        <f>((VLOOKUP(A7,قرارداد!A:E,5,0)/30/7.33)+(VLOOKUP(A7,قرارداد!A:E,5,0)/30/7.33)*40/100)*(I7+(H7/60))</f>
        <v>118283727.14870396</v>
      </c>
      <c r="K7" s="42">
        <f>D7+E7+F7+G7+J7</f>
        <v>295305995.14870393</v>
      </c>
      <c r="L7" s="30">
        <f>IFERROR(IF((D7/C7*30)&lt;(قرارداد!D4*30*7),(D7+F7+G7+J7)*7%,(قرارداد!D4*7*C7)*7%),0)</f>
        <v>20671419.660409275</v>
      </c>
      <c r="M7" s="30">
        <f>VLOOKUP(A7,'جدول مالیات'!A:K,11,0)</f>
        <v>29379974.849145971</v>
      </c>
      <c r="N7" s="34">
        <v>100000000</v>
      </c>
      <c r="O7" s="34"/>
      <c r="P7" s="31">
        <v>0</v>
      </c>
      <c r="Q7" s="32">
        <v>30</v>
      </c>
      <c r="R7" s="35">
        <f>((VLOOKUP(A7,قرارداد!A:E,5,0)/30/7.33)+(VLOOKUP(A7,قرارداد!A:E,5,0)/30/7.33)*40/100)*(Q7+(P7/60))</f>
        <v>10138605.184174625</v>
      </c>
      <c r="S7" s="34"/>
      <c r="T7" s="35">
        <f>L7+M7+N7+O7+R7+S7</f>
        <v>160189999.69372988</v>
      </c>
      <c r="U7" s="36">
        <f>-(K7-T7-V7)</f>
        <v>4.5450259447097778</v>
      </c>
      <c r="V7" s="35">
        <f>ROUND(K7-T7,-3)</f>
        <v>135116000</v>
      </c>
      <c r="W7" s="30">
        <f>IFERROR(IF((D7/C7*30)&lt;(قرارداد!D4*30*7),(D7+F7+G7+J7),(قرارداد!D4*7*C7)),0)</f>
        <v>295305995.14870393</v>
      </c>
    </row>
    <row r="8" spans="1:23" ht="24.6" customHeight="1" x14ac:dyDescent="0.25">
      <c r="A8" s="22">
        <v>2</v>
      </c>
      <c r="B8" s="23" t="str">
        <f>VLOOKUP(A8,قرارداد!A:O,15,0)</f>
        <v>احمد تابان</v>
      </c>
      <c r="C8" s="24">
        <v>30</v>
      </c>
      <c r="D8" s="30">
        <f>((VLOOKUP(A8,قرارداد!A:E,5,0))/30)*C8</f>
        <v>53082840</v>
      </c>
      <c r="E8" s="30">
        <f>(VLOOKUP(A8,قرارداد!A:H,8,0))/30*IF(C8&gt;30,30,C8)</f>
        <v>0</v>
      </c>
      <c r="F8" s="30">
        <f>(VLOOKUP(A8,قرارداد!A:P,16,0))/30*IF(C8&gt;30,30,C8)</f>
        <v>20000000</v>
      </c>
      <c r="G8" s="30">
        <f>(VLOOKUP(A8,قرارداد!A:I,9,0))/30*C8+VLOOKUP(A8,قرارداد!A:J,10,0)</f>
        <v>0</v>
      </c>
      <c r="H8" s="31">
        <v>0</v>
      </c>
      <c r="I8" s="32">
        <v>0</v>
      </c>
      <c r="J8" s="33">
        <f>((VLOOKUP(A8,قرارداد!A:E,5,0)/30/7.33)+(VLOOKUP(A8,قرارداد!A:E,5,0)/30/7.33)*40/100)*(I8+(H8/60))</f>
        <v>0</v>
      </c>
      <c r="K8" s="42">
        <f t="shared" ref="K8:K16" si="0">D8+E8+F8+G8+J8</f>
        <v>73082840</v>
      </c>
      <c r="L8" s="30">
        <f>IFERROR(IF((D8/C8*30)&lt;(قرارداد!D4*30*7),(D8+F8+G8+J8)*7%,(قرارداد!D4*7*C8)*7%),0)</f>
        <v>5115798.8000000007</v>
      </c>
      <c r="M8" s="30">
        <f>VLOOKUP(A8,'جدول مالیات'!A:K,11,0)</f>
        <v>0</v>
      </c>
      <c r="N8" s="34"/>
      <c r="O8" s="34"/>
      <c r="P8" s="31">
        <v>0</v>
      </c>
      <c r="Q8" s="32">
        <v>1</v>
      </c>
      <c r="R8" s="35">
        <f>((VLOOKUP(A8,قرارداد!A:E,5,0)/30/7.33)+(VLOOKUP(A8,قرارداد!A:E,5,0)/30/7.33)*40/100)*(Q8+(P8/60))</f>
        <v>337953.5061391542</v>
      </c>
      <c r="S8" s="34"/>
      <c r="T8" s="35">
        <f t="shared" ref="T8:T16" si="1">L8+M8+N8+O8+R8+S8</f>
        <v>5453752.3061391553</v>
      </c>
      <c r="U8" s="36">
        <f t="shared" ref="U8:U16" si="2">-(K8-T8-V8)</f>
        <v>-87.693860843777657</v>
      </c>
      <c r="V8" s="35">
        <f t="shared" ref="V8:V16" si="3">ROUND(K8-T8,-3)</f>
        <v>67629000</v>
      </c>
      <c r="W8" s="30">
        <f>IFERROR(IF((D8/C8*30)&lt;(قرارداد!D4*30*7),(D8+F8+G8+J8),(قرارداد!D4*7*C8)),0)</f>
        <v>73082840</v>
      </c>
    </row>
    <row r="9" spans="1:23" ht="24.6" customHeight="1" x14ac:dyDescent="0.25">
      <c r="A9" s="22">
        <v>3</v>
      </c>
      <c r="B9" s="23" t="str">
        <f>VLOOKUP(A9,قرارداد!A:O,15,0)</f>
        <v>مریم  صدر</v>
      </c>
      <c r="C9" s="24">
        <v>30</v>
      </c>
      <c r="D9" s="30">
        <f>((VLOOKUP(A9,قرارداد!A:E,5,0))/30)*C9</f>
        <v>53082840</v>
      </c>
      <c r="E9" s="30">
        <f>(VLOOKUP(A9,قرارداد!A:H,8,0))/30*IF(C9&gt;30,30,C9)</f>
        <v>0</v>
      </c>
      <c r="F9" s="30">
        <f>(VLOOKUP(A9,قرارداد!A:P,16,0))/30*IF(C9&gt;30,30,C9)</f>
        <v>20000000</v>
      </c>
      <c r="G9" s="30">
        <f>(VLOOKUP(A9,قرارداد!A:I,9,0))/30*C9+VLOOKUP(A9,قرارداد!A:J,10,0)</f>
        <v>0</v>
      </c>
      <c r="H9" s="31">
        <v>0</v>
      </c>
      <c r="I9" s="32">
        <v>1</v>
      </c>
      <c r="J9" s="33">
        <f>((VLOOKUP(A9,قرارداد!A:E,5,0)/30/7.33)+(VLOOKUP(A9,قرارداد!A:E,5,0)/30/7.33)*40/100)*(I9+(H9/60))</f>
        <v>337953.5061391542</v>
      </c>
      <c r="K9" s="42">
        <f t="shared" si="0"/>
        <v>73420793.506139159</v>
      </c>
      <c r="L9" s="30">
        <f>IFERROR(IF((D9/C9*30)&lt;(قرارداد!D4*30*7),(D9+F9+G9+J9)*7%,(قرارداد!D4*7*C9)*7%),0)</f>
        <v>5139455.545429742</v>
      </c>
      <c r="M9" s="30">
        <f>VLOOKUP(A9,'جدول مالیات'!A:K,11,0)</f>
        <v>0</v>
      </c>
      <c r="N9" s="34">
        <v>1000000</v>
      </c>
      <c r="O9" s="34"/>
      <c r="P9" s="31"/>
      <c r="Q9" s="32">
        <v>5</v>
      </c>
      <c r="R9" s="35">
        <f>((VLOOKUP(A9,قرارداد!A:E,5,0)/30/7.33)+(VLOOKUP(A9,قرارداد!A:E,5,0)/30/7.33)*40/100)*(Q9+(P9/60))</f>
        <v>1689767.5306957709</v>
      </c>
      <c r="S9" s="34"/>
      <c r="T9" s="35">
        <f t="shared" si="1"/>
        <v>7829223.0761255128</v>
      </c>
      <c r="U9" s="36">
        <f t="shared" si="2"/>
        <v>429.56998635083437</v>
      </c>
      <c r="V9" s="35">
        <f t="shared" si="3"/>
        <v>65592000</v>
      </c>
      <c r="W9" s="30">
        <f>IFERROR(IF((D9/C9*30)&lt;(قرارداد!D4*30*7),(D9+F9+G9+J9),(قرارداد!D4*7*C9)),0)</f>
        <v>73420793.506139159</v>
      </c>
    </row>
    <row r="10" spans="1:23" ht="24.6" customHeight="1" x14ac:dyDescent="0.25">
      <c r="A10" s="22">
        <v>4</v>
      </c>
      <c r="B10" s="23" t="str">
        <f>VLOOKUP(A10,قرارداد!A:O,15,0)</f>
        <v>مسعود کمانی</v>
      </c>
      <c r="C10" s="24">
        <v>30</v>
      </c>
      <c r="D10" s="30">
        <f>((VLOOKUP(A10,قرارداد!A:E,5,0))/30)*C10</f>
        <v>53082840</v>
      </c>
      <c r="E10" s="30">
        <f>(VLOOKUP(A10,قرارداد!A:H,8,0))/30*IF(C10&gt;30,30,C10)</f>
        <v>0</v>
      </c>
      <c r="F10" s="30">
        <f>(VLOOKUP(A10,قرارداد!A:P,16,0))/30*IF(C10&gt;30,30,C10)</f>
        <v>20000000</v>
      </c>
      <c r="G10" s="30">
        <f>(VLOOKUP(A10,قرارداد!A:I,9,0))/30*C10+VLOOKUP(A10,قرارداد!A:J,10,0)</f>
        <v>0</v>
      </c>
      <c r="H10" s="31">
        <v>0</v>
      </c>
      <c r="I10" s="32">
        <v>0</v>
      </c>
      <c r="J10" s="33">
        <f>((VLOOKUP(A10,قرارداد!A:E,5,0)/30/7.33)+(VLOOKUP(A10,قرارداد!A:E,5,0)/30/7.33)*40/100)*(I10+(H10/60))</f>
        <v>0</v>
      </c>
      <c r="K10" s="42">
        <f t="shared" si="0"/>
        <v>73082840</v>
      </c>
      <c r="L10" s="30">
        <f>IFERROR(IF((D10/C10*30)&lt;(قرارداد!D4*30*7),(D10+F10+G10+J10)*7%,(قرارداد!D4*7*C10)*7%),0)</f>
        <v>5115798.8000000007</v>
      </c>
      <c r="M10" s="30">
        <f>VLOOKUP(A10,'جدول مالیات'!A:K,11,0)</f>
        <v>0</v>
      </c>
      <c r="N10" s="34"/>
      <c r="O10" s="34"/>
      <c r="P10" s="31"/>
      <c r="Q10" s="32"/>
      <c r="R10" s="35">
        <f>((VLOOKUP(A10,قرارداد!A:E,5,0)/30/7.33)+(VLOOKUP(A10,قرارداد!A:E,5,0)/30/7.33)*40/100)*(Q10+(P10/60))</f>
        <v>0</v>
      </c>
      <c r="S10" s="34"/>
      <c r="T10" s="35">
        <f t="shared" si="1"/>
        <v>5115798.8000000007</v>
      </c>
      <c r="U10" s="36">
        <f t="shared" si="2"/>
        <v>-41.200000002980232</v>
      </c>
      <c r="V10" s="35">
        <f t="shared" si="3"/>
        <v>67967000</v>
      </c>
      <c r="W10" s="30">
        <f>IFERROR(IF((D10/C10*30)&lt;(قرارداد!D4*30*7),(D10+F10+G10+J10),(قرارداد!D4*7*C10)),0)</f>
        <v>73082840</v>
      </c>
    </row>
    <row r="11" spans="1:23" ht="24.6" customHeight="1" x14ac:dyDescent="0.25">
      <c r="A11" s="22">
        <v>5</v>
      </c>
      <c r="B11" s="23" t="str">
        <f>VLOOKUP(A11,قرارداد!A:O,15,0)</f>
        <v>کاوه بابا احمدی</v>
      </c>
      <c r="C11" s="24">
        <v>30</v>
      </c>
      <c r="D11" s="30">
        <f>((VLOOKUP(A11,قرارداد!A:E,5,0))/30)*C11</f>
        <v>53082840</v>
      </c>
      <c r="E11" s="30">
        <f>(VLOOKUP(A11,قرارداد!A:H,8,0))/30*IF(C11&gt;30,30,C11)</f>
        <v>0</v>
      </c>
      <c r="F11" s="30">
        <f>(VLOOKUP(A11,قرارداد!A:P,16,0))/30*IF(C11&gt;30,30,C11)</f>
        <v>20000000</v>
      </c>
      <c r="G11" s="30">
        <f>(VLOOKUP(A11,قرارداد!A:I,9,0))/30*C11+VLOOKUP(A11,قرارداد!A:J,10,0)</f>
        <v>0</v>
      </c>
      <c r="H11" s="31">
        <v>0</v>
      </c>
      <c r="I11" s="32">
        <v>0</v>
      </c>
      <c r="J11" s="33">
        <f>((VLOOKUP(A11,قرارداد!A:E,5,0)/30/7.33)+(VLOOKUP(A11,قرارداد!A:E,5,0)/30/7.33)*40/100)*(I11+(H11/60))</f>
        <v>0</v>
      </c>
      <c r="K11" s="42">
        <f t="shared" si="0"/>
        <v>73082840</v>
      </c>
      <c r="L11" s="30">
        <f>IFERROR(IF((D11/C11*30)&lt;(قرارداد!D4*30*7),(D11+F11+G11+J11)*7%,(قرارداد!D4*7*C11)*7%),0)</f>
        <v>5115798.8000000007</v>
      </c>
      <c r="M11" s="30">
        <f>VLOOKUP(A11,'جدول مالیات'!A:K,11,0)</f>
        <v>0</v>
      </c>
      <c r="N11" s="34"/>
      <c r="O11" s="34"/>
      <c r="P11" s="31">
        <v>0</v>
      </c>
      <c r="Q11" s="32">
        <v>0</v>
      </c>
      <c r="R11" s="35">
        <f>((VLOOKUP(A11,قرارداد!A:E,5,0)/30/7.33)+(VLOOKUP(A11,قرارداد!A:E,5,0)/30/7.33)*40/100)*(Q11+(P11/60))</f>
        <v>0</v>
      </c>
      <c r="S11" s="34"/>
      <c r="T11" s="35">
        <f t="shared" si="1"/>
        <v>5115798.8000000007</v>
      </c>
      <c r="U11" s="36">
        <f t="shared" si="2"/>
        <v>-41.200000002980232</v>
      </c>
      <c r="V11" s="35">
        <f t="shared" si="3"/>
        <v>67967000</v>
      </c>
      <c r="W11" s="30">
        <f>IFERROR(IF((D11/C11*30)&lt;(قرارداد!D4*30*7),(D11+F11+G11+J11),(قرارداد!D4*7*C11)),0)</f>
        <v>73082840</v>
      </c>
    </row>
    <row r="12" spans="1:23" ht="24.6" customHeight="1" x14ac:dyDescent="0.25">
      <c r="A12" s="22">
        <v>6</v>
      </c>
      <c r="B12" s="23" t="str">
        <f>VLOOKUP(A12,قرارداد!A:O,15,0)</f>
        <v xml:space="preserve"> </v>
      </c>
      <c r="C12" s="24">
        <v>0</v>
      </c>
      <c r="D12" s="30">
        <f>((VLOOKUP(A12,قرارداد!A:E,5,0))/30)*C12</f>
        <v>0</v>
      </c>
      <c r="E12" s="30">
        <f>(VLOOKUP(A12,قرارداد!A:H,8,0))/30*IF(C12&gt;30,30,C12)</f>
        <v>0</v>
      </c>
      <c r="F12" s="30">
        <f>(VLOOKUP(A12,قرارداد!A:P,16,0))/30*IF(C12&gt;30,30,C12)</f>
        <v>0</v>
      </c>
      <c r="G12" s="30">
        <f>(VLOOKUP(A12,قرارداد!A:I,9,0))/30*C12+VLOOKUP(A12,قرارداد!A:J,10,0)</f>
        <v>0</v>
      </c>
      <c r="H12" s="31"/>
      <c r="I12" s="32"/>
      <c r="J12" s="33">
        <f>((VLOOKUP(A12,قرارداد!A:E,5,0)/30/7.33)+(VLOOKUP(A12,قرارداد!A:E,5,0)/30/7.33)*40/100)*(I12+(H12/60))</f>
        <v>0</v>
      </c>
      <c r="K12" s="42">
        <f t="shared" si="0"/>
        <v>0</v>
      </c>
      <c r="L12" s="30">
        <f>IFERROR(IF((D12/C12*30)&lt;(قرارداد!D4*30*7),(D12+F12+G12+J12)*7%,(قرارداد!D4*7*C12)*7%),0)</f>
        <v>0</v>
      </c>
      <c r="M12" s="30">
        <f>VLOOKUP(A12,'جدول مالیات'!A:K,11,0)</f>
        <v>0</v>
      </c>
      <c r="N12" s="34"/>
      <c r="O12" s="34"/>
      <c r="P12" s="31"/>
      <c r="Q12" s="32"/>
      <c r="R12" s="35">
        <f>((VLOOKUP(A12,قرارداد!A:E,5,0)/30/7.33)+(VLOOKUP(A12,قرارداد!A:E,5,0)/30/7.33)*40/100)*(Q12+(P12/60))</f>
        <v>0</v>
      </c>
      <c r="S12" s="34"/>
      <c r="T12" s="35">
        <f t="shared" si="1"/>
        <v>0</v>
      </c>
      <c r="U12" s="36">
        <f t="shared" si="2"/>
        <v>0</v>
      </c>
      <c r="V12" s="35">
        <f t="shared" si="3"/>
        <v>0</v>
      </c>
      <c r="W12" s="30">
        <f>IFERROR(IF((D12/C12*30)&lt;(قرارداد!D4*30*7),(D12+F12+G12+J12),(قرارداد!D4*7*C12)),0)</f>
        <v>0</v>
      </c>
    </row>
    <row r="13" spans="1:23" ht="24.6" customHeight="1" x14ac:dyDescent="0.25">
      <c r="A13" s="22">
        <v>7</v>
      </c>
      <c r="B13" s="23" t="str">
        <f>VLOOKUP(A13,قرارداد!A:O,15,0)</f>
        <v xml:space="preserve"> </v>
      </c>
      <c r="C13" s="24">
        <v>0</v>
      </c>
      <c r="D13" s="30">
        <f>((VLOOKUP(A13,قرارداد!A:E,5,0))/30)*C13</f>
        <v>0</v>
      </c>
      <c r="E13" s="30">
        <f>(VLOOKUP(A13,قرارداد!A:H,8,0))/30*IF(C13&gt;30,30,C13)</f>
        <v>0</v>
      </c>
      <c r="F13" s="30">
        <f>(VLOOKUP(A13,قرارداد!A:P,16,0))/30*IF(C13&gt;30,30,C13)</f>
        <v>0</v>
      </c>
      <c r="G13" s="30">
        <f>(VLOOKUP(A13,قرارداد!A:I,9,0))/30*C13+VLOOKUP(A13,قرارداد!A:J,10,0)</f>
        <v>0</v>
      </c>
      <c r="H13" s="31"/>
      <c r="I13" s="32"/>
      <c r="J13" s="33">
        <f>((VLOOKUP(A13,قرارداد!A:E,5,0)/30/7.33)+(VLOOKUP(A13,قرارداد!A:E,5,0)/30/7.33)*40/100)*(I13+(H13/60))</f>
        <v>0</v>
      </c>
      <c r="K13" s="42">
        <f t="shared" si="0"/>
        <v>0</v>
      </c>
      <c r="L13" s="30">
        <f>IFERROR(IF((D13/C13*30)&lt;(قرارداد!D4*30*7),(D13+F13+G13+J13)*7%,(قرارداد!D4*7*C13)*7%),0)</f>
        <v>0</v>
      </c>
      <c r="M13" s="30">
        <f>VLOOKUP(A13,'جدول مالیات'!A:K,11,0)</f>
        <v>0</v>
      </c>
      <c r="N13" s="34"/>
      <c r="O13" s="34"/>
      <c r="P13" s="31"/>
      <c r="Q13" s="32"/>
      <c r="R13" s="35">
        <f>((VLOOKUP(A13,قرارداد!A:E,5,0)/30/7.33)+(VLOOKUP(A13,قرارداد!A:E,5,0)/30/7.33)*40/100)*(Q13+(P13/60))</f>
        <v>0</v>
      </c>
      <c r="S13" s="34"/>
      <c r="T13" s="35">
        <f t="shared" si="1"/>
        <v>0</v>
      </c>
      <c r="U13" s="36">
        <f t="shared" si="2"/>
        <v>0</v>
      </c>
      <c r="V13" s="35">
        <f t="shared" si="3"/>
        <v>0</v>
      </c>
      <c r="W13" s="30">
        <f>IFERROR(IF((D13/C13*30)&lt;(قرارداد!D4*30*7),(D13+F13+G13+J13),(قرارداد!D4*7*C13)),0)</f>
        <v>0</v>
      </c>
    </row>
    <row r="14" spans="1:23" ht="24.6" customHeight="1" x14ac:dyDescent="0.25">
      <c r="A14" s="22">
        <v>8</v>
      </c>
      <c r="B14" s="23" t="str">
        <f>VLOOKUP(A14,قرارداد!A:O,15,0)</f>
        <v xml:space="preserve"> </v>
      </c>
      <c r="C14" s="24">
        <v>0</v>
      </c>
      <c r="D14" s="30">
        <f>((VLOOKUP(A14,قرارداد!A:E,5,0))/30)*C14</f>
        <v>0</v>
      </c>
      <c r="E14" s="30">
        <f>(VLOOKUP(A14,قرارداد!A:H,8,0))/30*IF(C14&gt;30,30,C14)</f>
        <v>0</v>
      </c>
      <c r="F14" s="30">
        <f>(VLOOKUP(A14,قرارداد!A:P,16,0))/30*IF(C14&gt;30,30,C14)</f>
        <v>0</v>
      </c>
      <c r="G14" s="30">
        <f>(VLOOKUP(A14,قرارداد!A:I,9,0))/30*C14+VLOOKUP(A14,قرارداد!A:J,10,0)</f>
        <v>0</v>
      </c>
      <c r="H14" s="31"/>
      <c r="I14" s="32"/>
      <c r="J14" s="33">
        <f>((VLOOKUP(A14,قرارداد!A:E,5,0)/30/7.33)+(VLOOKUP(A14,قرارداد!A:E,5,0)/30/7.33)*40/100)*(I14+(H14/60))</f>
        <v>0</v>
      </c>
      <c r="K14" s="42">
        <f t="shared" si="0"/>
        <v>0</v>
      </c>
      <c r="L14" s="30">
        <f>IFERROR(IF((D14/C14*30)&lt;(قرارداد!D4*30*7),(D14+F14+G14+J14)*7%,(قرارداد!D4*7*C14)*7%),0)</f>
        <v>0</v>
      </c>
      <c r="M14" s="30">
        <f>VLOOKUP(A14,'جدول مالیات'!A:K,11,0)</f>
        <v>0</v>
      </c>
      <c r="N14" s="34"/>
      <c r="O14" s="34"/>
      <c r="P14" s="31"/>
      <c r="Q14" s="32"/>
      <c r="R14" s="35">
        <f>((VLOOKUP(A14,قرارداد!A:E,5,0)/30/7.33)+(VLOOKUP(A14,قرارداد!A:E,5,0)/30/7.33)*40/100)*(Q14+(P14/60))</f>
        <v>0</v>
      </c>
      <c r="S14" s="34"/>
      <c r="T14" s="35">
        <f t="shared" si="1"/>
        <v>0</v>
      </c>
      <c r="U14" s="36">
        <f t="shared" si="2"/>
        <v>0</v>
      </c>
      <c r="V14" s="35">
        <f t="shared" si="3"/>
        <v>0</v>
      </c>
      <c r="W14" s="30">
        <f>IFERROR(IF((D14/C14*30)&lt;(قرارداد!D4*30*7),(D14+F14+G14+J14),(قرارداد!D4*7*C14)),0)</f>
        <v>0</v>
      </c>
    </row>
    <row r="15" spans="1:23" ht="24.6" customHeight="1" x14ac:dyDescent="0.25">
      <c r="A15" s="22">
        <v>9</v>
      </c>
      <c r="B15" s="23" t="str">
        <f>VLOOKUP(A15,قرارداد!A:O,15,0)</f>
        <v xml:space="preserve"> </v>
      </c>
      <c r="C15" s="24">
        <v>0</v>
      </c>
      <c r="D15" s="30">
        <f>((VLOOKUP(A15,قرارداد!A:E,5,0))/30)*C15</f>
        <v>0</v>
      </c>
      <c r="E15" s="30">
        <f>(VLOOKUP(A15,قرارداد!A:H,8,0))/30*IF(C15&gt;30,30,C15)</f>
        <v>0</v>
      </c>
      <c r="F15" s="30">
        <f>(VLOOKUP(A15,قرارداد!A:P,16,0))/30*IF(C15&gt;30,30,C15)</f>
        <v>0</v>
      </c>
      <c r="G15" s="30">
        <f>(VLOOKUP(A15,قرارداد!A:I,9,0))/30*C15+VLOOKUP(A15,قرارداد!A:J,10,0)</f>
        <v>0</v>
      </c>
      <c r="H15" s="31"/>
      <c r="I15" s="32"/>
      <c r="J15" s="33">
        <f>((VLOOKUP(A15,قرارداد!A:E,5,0)/30/7.33)+(VLOOKUP(A15,قرارداد!A:E,5,0)/30/7.33)*40/100)*(I15+(H15/60))</f>
        <v>0</v>
      </c>
      <c r="K15" s="42">
        <f t="shared" si="0"/>
        <v>0</v>
      </c>
      <c r="L15" s="30">
        <f>IFERROR(IF((D15/C15*30)&lt;(قرارداد!D4*30*7),(D15+F15+G15+J15)*7%,(قرارداد!D4*7*C15)*7%),0)</f>
        <v>0</v>
      </c>
      <c r="M15" s="30">
        <f>VLOOKUP(A15,'جدول مالیات'!A:K,11,0)</f>
        <v>0</v>
      </c>
      <c r="N15" s="34"/>
      <c r="O15" s="34"/>
      <c r="P15" s="31"/>
      <c r="Q15" s="32"/>
      <c r="R15" s="35">
        <f>((VLOOKUP(A15,قرارداد!A:E,5,0)/30/7.33)+(VLOOKUP(A15,قرارداد!A:E,5,0)/30/7.33)*40/100)*(Q15+(P15/60))</f>
        <v>0</v>
      </c>
      <c r="S15" s="34"/>
      <c r="T15" s="35">
        <f t="shared" si="1"/>
        <v>0</v>
      </c>
      <c r="U15" s="36">
        <f t="shared" si="2"/>
        <v>0</v>
      </c>
      <c r="V15" s="35">
        <f t="shared" si="3"/>
        <v>0</v>
      </c>
      <c r="W15" s="30">
        <f>IFERROR(IF((D15/C15*30)&lt;(قرارداد!D4*30*7),(D15+F15+G15+J15),(قرارداد!D4*7*C15)),0)</f>
        <v>0</v>
      </c>
    </row>
    <row r="16" spans="1:23" ht="24.6" customHeight="1" x14ac:dyDescent="0.25">
      <c r="A16" s="22">
        <v>10</v>
      </c>
      <c r="B16" s="23" t="str">
        <f>VLOOKUP(A16,قرارداد!A:O,15,0)</f>
        <v xml:space="preserve"> </v>
      </c>
      <c r="C16" s="24">
        <v>0</v>
      </c>
      <c r="D16" s="30">
        <f>((VLOOKUP(A16,قرارداد!A:E,5,0))/30)*C16</f>
        <v>0</v>
      </c>
      <c r="E16" s="30">
        <f>(VLOOKUP(A16,قرارداد!A:H,8,0))/30*IF(C16&gt;30,30,C16)</f>
        <v>0</v>
      </c>
      <c r="F16" s="30">
        <f>(VLOOKUP(A16,قرارداد!A:P,16,0))/30*IF(C16&gt;30,30,C16)</f>
        <v>0</v>
      </c>
      <c r="G16" s="30">
        <f>(VLOOKUP(A16,قرارداد!A:I,9,0))/30*C16+VLOOKUP(A16,قرارداد!A:J,10,0)</f>
        <v>0</v>
      </c>
      <c r="H16" s="31"/>
      <c r="I16" s="32"/>
      <c r="J16" s="33">
        <f>((VLOOKUP(A16,قرارداد!A:E,5,0)/30/7.33)+(VLOOKUP(A16,قرارداد!A:E,5,0)/30/7.33)*40/100)*(I16+(H16/60))</f>
        <v>0</v>
      </c>
      <c r="K16" s="42">
        <f t="shared" si="0"/>
        <v>0</v>
      </c>
      <c r="L16" s="30">
        <f>IFERROR(IF((D16/C16*30)&lt;(قرارداد!D4*30*7),(D16+F16+G16+J16)*7%,(قرارداد!D4*7*C16)*7%),0)</f>
        <v>0</v>
      </c>
      <c r="M16" s="30">
        <f>VLOOKUP(A16,'جدول مالیات'!A:K,11,0)</f>
        <v>0</v>
      </c>
      <c r="N16" s="34"/>
      <c r="O16" s="34"/>
      <c r="P16" s="31"/>
      <c r="Q16" s="32"/>
      <c r="R16" s="35">
        <f>((VLOOKUP(A16,قرارداد!A:E,5,0)/30/7.33)+(VLOOKUP(A16,قرارداد!A:E,5,0)/30/7.33)*40/100)*(Q16+(P16/60))</f>
        <v>0</v>
      </c>
      <c r="S16" s="34"/>
      <c r="T16" s="35">
        <f t="shared" si="1"/>
        <v>0</v>
      </c>
      <c r="U16" s="36">
        <f t="shared" si="2"/>
        <v>0</v>
      </c>
      <c r="V16" s="35">
        <f t="shared" si="3"/>
        <v>0</v>
      </c>
      <c r="W16" s="30">
        <f>IFERROR(IF((D16/C16*30)&lt;(قرارداد!D4*30*7),(D16+F16+G16+J16),(قرارداد!D4*7*C16)),0)</f>
        <v>0</v>
      </c>
    </row>
    <row r="17" spans="1:23" s="26" customFormat="1" ht="24.6" customHeight="1" thickBot="1" x14ac:dyDescent="0.3">
      <c r="A17" s="101" t="s">
        <v>39</v>
      </c>
      <c r="B17" s="101"/>
      <c r="C17" s="25">
        <f>SUM(C7:C16)</f>
        <v>151</v>
      </c>
      <c r="D17" s="37">
        <f>SUM(D7:D16)</f>
        <v>267183628</v>
      </c>
      <c r="E17" s="37">
        <f t="shared" ref="E17:V17" si="4">SUM(E7:E16)</f>
        <v>0</v>
      </c>
      <c r="F17" s="37">
        <f t="shared" si="4"/>
        <v>100000000</v>
      </c>
      <c r="G17" s="37">
        <f t="shared" si="4"/>
        <v>102170000</v>
      </c>
      <c r="H17" s="37">
        <f t="shared" si="4"/>
        <v>0</v>
      </c>
      <c r="I17" s="37">
        <f>SUM(I7:I16)</f>
        <v>351</v>
      </c>
      <c r="J17" s="37">
        <f>SUM(J7:J16)</f>
        <v>118621680.65484312</v>
      </c>
      <c r="K17" s="37">
        <f>SUM(K7:K16)</f>
        <v>587975308.65484309</v>
      </c>
      <c r="L17" s="37">
        <f t="shared" si="4"/>
        <v>41158271.605839014</v>
      </c>
      <c r="M17" s="37">
        <f>SUM(M7:M16)</f>
        <v>29379974.849145971</v>
      </c>
      <c r="N17" s="37">
        <f t="shared" si="4"/>
        <v>101000000</v>
      </c>
      <c r="O17" s="37">
        <f t="shared" si="4"/>
        <v>0</v>
      </c>
      <c r="P17" s="38">
        <f>SUM(P7:P16)</f>
        <v>0</v>
      </c>
      <c r="Q17" s="37">
        <f>SUM(Q7:Q16)</f>
        <v>36</v>
      </c>
      <c r="R17" s="37">
        <f t="shared" si="4"/>
        <v>12166326.221009549</v>
      </c>
      <c r="S17" s="37">
        <f>SUM(S7:S16)</f>
        <v>0</v>
      </c>
      <c r="T17" s="37">
        <f t="shared" si="4"/>
        <v>183704572.67599455</v>
      </c>
      <c r="U17" s="39">
        <f t="shared" si="4"/>
        <v>264.02115144580603</v>
      </c>
      <c r="V17" s="37">
        <f t="shared" si="4"/>
        <v>404271000</v>
      </c>
      <c r="W17" s="37">
        <f>SUM(W7:W16)</f>
        <v>587975308.65484309</v>
      </c>
    </row>
    <row r="18" spans="1:23" ht="22.15" customHeight="1" thickTop="1" x14ac:dyDescent="0.25">
      <c r="K18" s="27" t="s">
        <v>41</v>
      </c>
      <c r="L18" s="28">
        <f>W17*20%</f>
        <v>117595061.73096862</v>
      </c>
      <c r="M18" s="28"/>
    </row>
    <row r="19" spans="1:23" ht="22.15" customHeight="1" x14ac:dyDescent="0.25">
      <c r="K19" s="27" t="s">
        <v>42</v>
      </c>
      <c r="L19" s="28">
        <f>W17*3%</f>
        <v>17639259.259645291</v>
      </c>
      <c r="M19" s="28"/>
    </row>
    <row r="20" spans="1:23" ht="22.15" customHeight="1" thickBot="1" x14ac:dyDescent="0.3">
      <c r="G20" s="99" t="s">
        <v>66</v>
      </c>
      <c r="H20" s="99"/>
      <c r="I20" s="99"/>
      <c r="J20" s="28">
        <f>L18+L19+K17</f>
        <v>723209629.64545703</v>
      </c>
      <c r="K20" s="20" t="s">
        <v>43</v>
      </c>
      <c r="L20" s="41">
        <f>L17+L18+L19</f>
        <v>176392592.59645292</v>
      </c>
    </row>
    <row r="21" spans="1:23" ht="20.25" thickTop="1" x14ac:dyDescent="0.25"/>
  </sheetData>
  <mergeCells count="31">
    <mergeCell ref="A4:A6"/>
    <mergeCell ref="B4:B6"/>
    <mergeCell ref="C4:C6"/>
    <mergeCell ref="H5:J5"/>
    <mergeCell ref="P5:R5"/>
    <mergeCell ref="M5:M6"/>
    <mergeCell ref="N5:N6"/>
    <mergeCell ref="O5:O6"/>
    <mergeCell ref="K4:K6"/>
    <mergeCell ref="L5:L6"/>
    <mergeCell ref="D4:J4"/>
    <mergeCell ref="G5:G6"/>
    <mergeCell ref="D5:D6"/>
    <mergeCell ref="E5:E6"/>
    <mergeCell ref="F5:F6"/>
    <mergeCell ref="W4:W6"/>
    <mergeCell ref="G20:I20"/>
    <mergeCell ref="A1:V1"/>
    <mergeCell ref="T2:V2"/>
    <mergeCell ref="A2:S2"/>
    <mergeCell ref="A17:B17"/>
    <mergeCell ref="J3:M3"/>
    <mergeCell ref="H3:I3"/>
    <mergeCell ref="D3:G3"/>
    <mergeCell ref="N3:Q3"/>
    <mergeCell ref="A3:B3"/>
    <mergeCell ref="S5:S6"/>
    <mergeCell ref="T4:T6"/>
    <mergeCell ref="U4:U6"/>
    <mergeCell ref="V4:V6"/>
    <mergeCell ref="L4:S4"/>
  </mergeCells>
  <pageMargins left="0.22" right="0.26" top="0.75" bottom="0.75" header="0.3" footer="0.3"/>
  <pageSetup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15"/>
  <sheetViews>
    <sheetView showGridLines="0" rightToLeft="1" view="pageBreakPreview" zoomScaleNormal="100" zoomScaleSheetLayoutView="100" workbookViewId="0">
      <selection activeCell="G13" sqref="G13"/>
    </sheetView>
  </sheetViews>
  <sheetFormatPr defaultRowHeight="15" x14ac:dyDescent="0.25"/>
  <cols>
    <col min="1" max="1" width="3.85546875" style="1" bestFit="1" customWidth="1"/>
    <col min="2" max="2" width="14.7109375" style="1" bestFit="1" customWidth="1"/>
    <col min="3" max="4" width="15.140625" style="1" customWidth="1"/>
    <col min="5" max="5" width="15.140625" style="2" customWidth="1"/>
    <col min="6" max="11" width="15.140625" style="1" customWidth="1"/>
    <col min="12" max="16384" width="9.140625" style="1"/>
  </cols>
  <sheetData>
    <row r="1" spans="1:11" ht="33" customHeight="1" x14ac:dyDescent="0.25">
      <c r="A1" s="128" t="s">
        <v>76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</row>
    <row r="2" spans="1:11" ht="28.5" customHeight="1" x14ac:dyDescent="0.25">
      <c r="A2" s="133" t="s">
        <v>33</v>
      </c>
      <c r="B2" s="131" t="s">
        <v>40</v>
      </c>
      <c r="C2" s="131" t="s">
        <v>22</v>
      </c>
      <c r="D2" s="135" t="s">
        <v>68</v>
      </c>
      <c r="E2" s="68" t="s">
        <v>37</v>
      </c>
      <c r="F2" s="69">
        <v>0</v>
      </c>
      <c r="G2" s="69">
        <v>100000001</v>
      </c>
      <c r="H2" s="69">
        <v>140000001</v>
      </c>
      <c r="I2" s="69">
        <v>230000001</v>
      </c>
      <c r="J2" s="69">
        <v>340000001</v>
      </c>
      <c r="K2" s="125" t="s">
        <v>39</v>
      </c>
    </row>
    <row r="3" spans="1:11" ht="28.5" customHeight="1" x14ac:dyDescent="0.25">
      <c r="A3" s="133"/>
      <c r="B3" s="131"/>
      <c r="C3" s="131"/>
      <c r="D3" s="135"/>
      <c r="E3" s="68" t="s">
        <v>38</v>
      </c>
      <c r="F3" s="69">
        <v>100000000</v>
      </c>
      <c r="G3" s="69">
        <v>140000000</v>
      </c>
      <c r="H3" s="69">
        <v>230000000</v>
      </c>
      <c r="I3" s="69">
        <v>340000000</v>
      </c>
      <c r="J3" s="69"/>
      <c r="K3" s="126"/>
    </row>
    <row r="4" spans="1:11" ht="28.5" customHeight="1" thickBot="1" x14ac:dyDescent="0.3">
      <c r="A4" s="134"/>
      <c r="B4" s="132"/>
      <c r="C4" s="132"/>
      <c r="D4" s="136"/>
      <c r="E4" s="70" t="s">
        <v>70</v>
      </c>
      <c r="F4" s="71">
        <v>0</v>
      </c>
      <c r="G4" s="72">
        <v>0.1</v>
      </c>
      <c r="H4" s="72">
        <v>0.15</v>
      </c>
      <c r="I4" s="72">
        <v>0.2</v>
      </c>
      <c r="J4" s="72">
        <v>0.3</v>
      </c>
      <c r="K4" s="127"/>
    </row>
    <row r="5" spans="1:11" ht="24" customHeight="1" x14ac:dyDescent="0.25">
      <c r="A5" s="66">
        <v>1</v>
      </c>
      <c r="B5" s="54" t="str">
        <f>VLOOKUP(A5,'لیست حقوق'!A4:B16,2,0)</f>
        <v>علی حسینی</v>
      </c>
      <c r="C5" s="55">
        <f>VLOOKUP(A5,'لیست حقوق'!A7:K16,11,0)</f>
        <v>295305995.14870393</v>
      </c>
      <c r="D5" s="55">
        <f>(VLOOKUP(A5,'لیست حقوق'!A:V,12,0)*2)/7</f>
        <v>5906119.9029740784</v>
      </c>
      <c r="E5" s="55">
        <f>C5-D5</f>
        <v>289399875.24572986</v>
      </c>
      <c r="F5" s="55">
        <f>(IF($E5&gt;F$3,F$3,$E5-F$2))*F$4</f>
        <v>0</v>
      </c>
      <c r="G5" s="55">
        <f t="shared" ref="G5:I14" si="0">IF((IF($E5&gt;G$3,G$3,$E5-G$2))*G$4&gt;0,(IF($E5&gt;G$3,G$3-F$3,$E5-G$2))*G$4,0)</f>
        <v>4000000</v>
      </c>
      <c r="H5" s="55">
        <f t="shared" si="0"/>
        <v>13500000</v>
      </c>
      <c r="I5" s="55">
        <f t="shared" si="0"/>
        <v>11879974.849145973</v>
      </c>
      <c r="J5" s="55">
        <f>IF($E5&gt;J$2,$E5-J$2,0)*J$4</f>
        <v>0</v>
      </c>
      <c r="K5" s="67">
        <f>SUM(F5:J5)</f>
        <v>29379974.849145971</v>
      </c>
    </row>
    <row r="6" spans="1:11" ht="24" customHeight="1" x14ac:dyDescent="0.25">
      <c r="A6" s="56">
        <v>2</v>
      </c>
      <c r="B6" s="51" t="str">
        <f>VLOOKUP(A6,'لیست حقوق'!A5:B17,2,0)</f>
        <v>احمد تابان</v>
      </c>
      <c r="C6" s="52">
        <f>VLOOKUP(A6,'لیست حقوق'!A8:K17,11,0)</f>
        <v>73082840</v>
      </c>
      <c r="D6" s="53">
        <f>(VLOOKUP(A6,'لیست حقوق'!A:V,12,0)*2)/7</f>
        <v>1461656.8000000003</v>
      </c>
      <c r="E6" s="53">
        <f t="shared" ref="E6:E14" si="1">C6-D6</f>
        <v>71621183.200000003</v>
      </c>
      <c r="F6" s="52">
        <f>(IF($E6&gt;F$3,F$3,$E6-F$2))*F$4</f>
        <v>0</v>
      </c>
      <c r="G6" s="52">
        <f t="shared" si="0"/>
        <v>0</v>
      </c>
      <c r="H6" s="52">
        <f t="shared" si="0"/>
        <v>0</v>
      </c>
      <c r="I6" s="52">
        <f t="shared" si="0"/>
        <v>0</v>
      </c>
      <c r="J6" s="52">
        <f t="shared" ref="J6:J14" si="2">IF($E6&gt;J$2,$E6-J$2,0)*J$4</f>
        <v>0</v>
      </c>
      <c r="K6" s="57">
        <f t="shared" ref="K6:K14" si="3">SUM(F6:J6)</f>
        <v>0</v>
      </c>
    </row>
    <row r="7" spans="1:11" ht="24" customHeight="1" x14ac:dyDescent="0.25">
      <c r="A7" s="58">
        <v>3</v>
      </c>
      <c r="B7" s="49" t="str">
        <f>VLOOKUP(A7,'لیست حقوق'!A6:B18,2,0)</f>
        <v>مریم  صدر</v>
      </c>
      <c r="C7" s="50">
        <f>VLOOKUP(A7,'لیست حقوق'!A9:K18,11,0)</f>
        <v>73420793.506139159</v>
      </c>
      <c r="D7" s="50">
        <f>(VLOOKUP(A7,'لیست حقوق'!A:V,12,0)*2)/7</f>
        <v>1468415.8701227834</v>
      </c>
      <c r="E7" s="50">
        <f t="shared" si="1"/>
        <v>71952377.636016369</v>
      </c>
      <c r="F7" s="50">
        <f t="shared" ref="F7:F14" si="4">(IF($E7&gt;F$3,F$3,$E7-F$2))*F$4</f>
        <v>0</v>
      </c>
      <c r="G7" s="50">
        <f t="shared" si="0"/>
        <v>0</v>
      </c>
      <c r="H7" s="50">
        <f t="shared" si="0"/>
        <v>0</v>
      </c>
      <c r="I7" s="50">
        <f t="shared" si="0"/>
        <v>0</v>
      </c>
      <c r="J7" s="50">
        <f t="shared" si="2"/>
        <v>0</v>
      </c>
      <c r="K7" s="59">
        <f t="shared" si="3"/>
        <v>0</v>
      </c>
    </row>
    <row r="8" spans="1:11" ht="24" customHeight="1" x14ac:dyDescent="0.25">
      <c r="A8" s="56">
        <v>4</v>
      </c>
      <c r="B8" s="51" t="str">
        <f>VLOOKUP(A8,'لیست حقوق'!A7:B19,2,0)</f>
        <v>مسعود کمانی</v>
      </c>
      <c r="C8" s="52">
        <f>VLOOKUP(A8,'لیست حقوق'!A10:K19,11,0)</f>
        <v>73082840</v>
      </c>
      <c r="D8" s="53">
        <f>(VLOOKUP(A8,'لیست حقوق'!A:V,12,0)*2)/7</f>
        <v>1461656.8000000003</v>
      </c>
      <c r="E8" s="53">
        <f t="shared" si="1"/>
        <v>71621183.200000003</v>
      </c>
      <c r="F8" s="52">
        <f t="shared" si="4"/>
        <v>0</v>
      </c>
      <c r="G8" s="52">
        <f t="shared" si="0"/>
        <v>0</v>
      </c>
      <c r="H8" s="52">
        <f t="shared" si="0"/>
        <v>0</v>
      </c>
      <c r="I8" s="52">
        <f t="shared" si="0"/>
        <v>0</v>
      </c>
      <c r="J8" s="52">
        <f t="shared" si="2"/>
        <v>0</v>
      </c>
      <c r="K8" s="57">
        <f t="shared" si="3"/>
        <v>0</v>
      </c>
    </row>
    <row r="9" spans="1:11" ht="24" customHeight="1" x14ac:dyDescent="0.25">
      <c r="A9" s="58">
        <v>5</v>
      </c>
      <c r="B9" s="49" t="str">
        <f>VLOOKUP(A9,'لیست حقوق'!A8:B20,2,0)</f>
        <v>کاوه بابا احمدی</v>
      </c>
      <c r="C9" s="50">
        <f>VLOOKUP(A9,'لیست حقوق'!A11:K20,11,0)</f>
        <v>73082840</v>
      </c>
      <c r="D9" s="50">
        <f>(VLOOKUP(A9,'لیست حقوق'!A:V,12,0)*2)/7</f>
        <v>1461656.8000000003</v>
      </c>
      <c r="E9" s="50">
        <f t="shared" si="1"/>
        <v>71621183.200000003</v>
      </c>
      <c r="F9" s="50">
        <f t="shared" si="4"/>
        <v>0</v>
      </c>
      <c r="G9" s="50">
        <f t="shared" si="0"/>
        <v>0</v>
      </c>
      <c r="H9" s="50">
        <f t="shared" si="0"/>
        <v>0</v>
      </c>
      <c r="I9" s="50">
        <f t="shared" si="0"/>
        <v>0</v>
      </c>
      <c r="J9" s="50">
        <f t="shared" si="2"/>
        <v>0</v>
      </c>
      <c r="K9" s="59">
        <f t="shared" si="3"/>
        <v>0</v>
      </c>
    </row>
    <row r="10" spans="1:11" ht="24" customHeight="1" x14ac:dyDescent="0.25">
      <c r="A10" s="56">
        <v>6</v>
      </c>
      <c r="B10" s="51" t="str">
        <f>VLOOKUP(A10,'لیست حقوق'!A9:B21,2,0)</f>
        <v xml:space="preserve"> </v>
      </c>
      <c r="C10" s="52">
        <f>VLOOKUP(A10,'لیست حقوق'!A12:K21,11,0)</f>
        <v>0</v>
      </c>
      <c r="D10" s="53">
        <f>(VLOOKUP(A10,'لیست حقوق'!A:V,12,0)*2)/7</f>
        <v>0</v>
      </c>
      <c r="E10" s="53">
        <f t="shared" si="1"/>
        <v>0</v>
      </c>
      <c r="F10" s="52">
        <f t="shared" si="4"/>
        <v>0</v>
      </c>
      <c r="G10" s="52">
        <f t="shared" si="0"/>
        <v>0</v>
      </c>
      <c r="H10" s="52">
        <f t="shared" si="0"/>
        <v>0</v>
      </c>
      <c r="I10" s="52">
        <f t="shared" si="0"/>
        <v>0</v>
      </c>
      <c r="J10" s="52">
        <f t="shared" si="2"/>
        <v>0</v>
      </c>
      <c r="K10" s="57">
        <f t="shared" si="3"/>
        <v>0</v>
      </c>
    </row>
    <row r="11" spans="1:11" ht="24" customHeight="1" x14ac:dyDescent="0.25">
      <c r="A11" s="58">
        <v>7</v>
      </c>
      <c r="B11" s="49" t="str">
        <f>VLOOKUP(A11,'لیست حقوق'!A10:B22,2,0)</f>
        <v xml:space="preserve"> </v>
      </c>
      <c r="C11" s="50">
        <f>VLOOKUP(A11,'لیست حقوق'!A13:K22,11,0)</f>
        <v>0</v>
      </c>
      <c r="D11" s="50">
        <f>(VLOOKUP(A11,'لیست حقوق'!A:V,12,0)*2)/7</f>
        <v>0</v>
      </c>
      <c r="E11" s="50">
        <f t="shared" si="1"/>
        <v>0</v>
      </c>
      <c r="F11" s="50">
        <f t="shared" si="4"/>
        <v>0</v>
      </c>
      <c r="G11" s="50">
        <f t="shared" si="0"/>
        <v>0</v>
      </c>
      <c r="H11" s="50">
        <f t="shared" si="0"/>
        <v>0</v>
      </c>
      <c r="I11" s="50">
        <f t="shared" si="0"/>
        <v>0</v>
      </c>
      <c r="J11" s="50">
        <f t="shared" si="2"/>
        <v>0</v>
      </c>
      <c r="K11" s="59">
        <f t="shared" si="3"/>
        <v>0</v>
      </c>
    </row>
    <row r="12" spans="1:11" ht="24" customHeight="1" x14ac:dyDescent="0.25">
      <c r="A12" s="56">
        <v>8</v>
      </c>
      <c r="B12" s="51" t="str">
        <f>VLOOKUP(A12,'لیست حقوق'!A11:B23,2,0)</f>
        <v xml:space="preserve"> </v>
      </c>
      <c r="C12" s="52">
        <f>VLOOKUP(A12,'لیست حقوق'!A14:K23,11,0)</f>
        <v>0</v>
      </c>
      <c r="D12" s="53">
        <f>(VLOOKUP(A12,'لیست حقوق'!A:V,12,0)*2)/7</f>
        <v>0</v>
      </c>
      <c r="E12" s="53">
        <f t="shared" si="1"/>
        <v>0</v>
      </c>
      <c r="F12" s="52">
        <f t="shared" si="4"/>
        <v>0</v>
      </c>
      <c r="G12" s="52">
        <f t="shared" si="0"/>
        <v>0</v>
      </c>
      <c r="H12" s="52">
        <f t="shared" si="0"/>
        <v>0</v>
      </c>
      <c r="I12" s="52">
        <f t="shared" si="0"/>
        <v>0</v>
      </c>
      <c r="J12" s="52">
        <f t="shared" si="2"/>
        <v>0</v>
      </c>
      <c r="K12" s="57">
        <f t="shared" si="3"/>
        <v>0</v>
      </c>
    </row>
    <row r="13" spans="1:11" ht="24" customHeight="1" x14ac:dyDescent="0.25">
      <c r="A13" s="58">
        <v>9</v>
      </c>
      <c r="B13" s="49" t="str">
        <f>VLOOKUP(A13,'لیست حقوق'!A12:B24,2,0)</f>
        <v xml:space="preserve"> </v>
      </c>
      <c r="C13" s="50">
        <f>VLOOKUP(A13,'لیست حقوق'!A15:K24,11,0)</f>
        <v>0</v>
      </c>
      <c r="D13" s="50">
        <f>(VLOOKUP(A13,'لیست حقوق'!A:V,12,0)*2)/7</f>
        <v>0</v>
      </c>
      <c r="E13" s="50">
        <f t="shared" si="1"/>
        <v>0</v>
      </c>
      <c r="F13" s="50">
        <f t="shared" si="4"/>
        <v>0</v>
      </c>
      <c r="G13" s="50">
        <f t="shared" si="0"/>
        <v>0</v>
      </c>
      <c r="H13" s="50">
        <f t="shared" si="0"/>
        <v>0</v>
      </c>
      <c r="I13" s="50">
        <f t="shared" si="0"/>
        <v>0</v>
      </c>
      <c r="J13" s="50">
        <f t="shared" si="2"/>
        <v>0</v>
      </c>
      <c r="K13" s="59">
        <f t="shared" si="3"/>
        <v>0</v>
      </c>
    </row>
    <row r="14" spans="1:11" ht="24" customHeight="1" thickBot="1" x14ac:dyDescent="0.3">
      <c r="A14" s="60">
        <v>10</v>
      </c>
      <c r="B14" s="61" t="str">
        <f>VLOOKUP(A14,'لیست حقوق'!A13:B25,2,0)</f>
        <v xml:space="preserve"> </v>
      </c>
      <c r="C14" s="62">
        <f>VLOOKUP(A14,'لیست حقوق'!A16:K25,11,0)</f>
        <v>0</v>
      </c>
      <c r="D14" s="63">
        <f>(VLOOKUP(A14,'لیست حقوق'!A:V,12,0)*2)/7</f>
        <v>0</v>
      </c>
      <c r="E14" s="63">
        <f t="shared" si="1"/>
        <v>0</v>
      </c>
      <c r="F14" s="62">
        <f t="shared" si="4"/>
        <v>0</v>
      </c>
      <c r="G14" s="62">
        <f t="shared" si="0"/>
        <v>0</v>
      </c>
      <c r="H14" s="62">
        <f t="shared" si="0"/>
        <v>0</v>
      </c>
      <c r="I14" s="62">
        <f t="shared" si="0"/>
        <v>0</v>
      </c>
      <c r="J14" s="62">
        <f t="shared" si="2"/>
        <v>0</v>
      </c>
      <c r="K14" s="64">
        <f t="shared" si="3"/>
        <v>0</v>
      </c>
    </row>
    <row r="15" spans="1:11" ht="24" customHeight="1" thickBot="1" x14ac:dyDescent="0.3">
      <c r="A15" s="123" t="s">
        <v>69</v>
      </c>
      <c r="B15" s="124"/>
      <c r="C15" s="124"/>
      <c r="D15" s="124"/>
      <c r="E15" s="124"/>
      <c r="F15" s="124"/>
      <c r="G15" s="124"/>
      <c r="H15" s="124"/>
      <c r="I15" s="124"/>
      <c r="J15" s="124"/>
      <c r="K15" s="65">
        <f>SUM(K5:K14)</f>
        <v>29379974.849145971</v>
      </c>
    </row>
  </sheetData>
  <mergeCells count="7">
    <mergeCell ref="A15:J15"/>
    <mergeCell ref="K2:K4"/>
    <mergeCell ref="A1:K1"/>
    <mergeCell ref="B2:B4"/>
    <mergeCell ref="A2:A4"/>
    <mergeCell ref="C2:C4"/>
    <mergeCell ref="D2:D4"/>
  </mergeCells>
  <pageMargins left="0.55000000000000004" right="0.7" top="0.75" bottom="0.75" header="0.3" footer="0.3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13"/>
  <sheetViews>
    <sheetView rightToLeft="1" view="pageBreakPreview" topLeftCell="A3" zoomScaleNormal="100" zoomScaleSheetLayoutView="100" workbookViewId="0">
      <selection activeCell="G5" sqref="G5:G6"/>
    </sheetView>
  </sheetViews>
  <sheetFormatPr defaultColWidth="8.85546875" defaultRowHeight="22.9" customHeight="1" x14ac:dyDescent="0.25"/>
  <cols>
    <col min="1" max="1" width="2.7109375" style="73" customWidth="1"/>
    <col min="2" max="3" width="11.140625" style="73" customWidth="1"/>
    <col min="4" max="4" width="20" style="73" customWidth="1"/>
    <col min="5" max="5" width="17.85546875" style="73" customWidth="1"/>
    <col min="6" max="6" width="20" style="73" customWidth="1"/>
    <col min="7" max="7" width="17.85546875" style="73" customWidth="1"/>
    <col min="8" max="8" width="14.140625" style="73" customWidth="1"/>
    <col min="9" max="16384" width="8.85546875" style="73"/>
  </cols>
  <sheetData>
    <row r="1" spans="2:7" ht="46.5" customHeight="1" x14ac:dyDescent="0.25">
      <c r="B1" s="137" t="str">
        <f>CONCATENATE("فیش حقوقی پرسنل "," ",'لیست حقوق'!A1)</f>
        <v>فیش حقوقی پرسنل  رسانه آموزش لیموناد - limoonad.com</v>
      </c>
      <c r="C1" s="138"/>
      <c r="D1" s="138"/>
      <c r="E1" s="138"/>
      <c r="F1" s="138"/>
      <c r="G1" s="139"/>
    </row>
    <row r="2" spans="2:7" ht="25.5" customHeight="1" x14ac:dyDescent="0.25">
      <c r="B2" s="84"/>
      <c r="F2" s="85" t="s">
        <v>73</v>
      </c>
      <c r="G2" s="86" t="str">
        <f>CONCATENATE( 'لیست حقوق'!T3," ",'لیست حقوق'!U3," ",'لیست حقوق'!V3)</f>
        <v>فروردین سال 1402</v>
      </c>
    </row>
    <row r="3" spans="2:7" ht="45" customHeight="1" thickBot="1" x14ac:dyDescent="0.3">
      <c r="B3" s="76" t="s">
        <v>32</v>
      </c>
      <c r="C3" s="77">
        <v>1</v>
      </c>
      <c r="D3" s="78" t="s">
        <v>34</v>
      </c>
      <c r="E3" s="79" t="str">
        <f>VLOOKUP(C3,'لیست حقوق'!A4:B16,2,0)</f>
        <v>علی حسینی</v>
      </c>
      <c r="F3" s="78" t="s">
        <v>2</v>
      </c>
      <c r="G3" s="80">
        <f>VLOOKUP(C3,قرارداد!A7:D17,4,0)</f>
        <v>0</v>
      </c>
    </row>
    <row r="4" spans="2:7" ht="44.25" customHeight="1" x14ac:dyDescent="0.25">
      <c r="B4" s="144" t="s">
        <v>50</v>
      </c>
      <c r="C4" s="145"/>
      <c r="D4" s="144" t="s">
        <v>71</v>
      </c>
      <c r="E4" s="145"/>
      <c r="F4" s="144" t="s">
        <v>72</v>
      </c>
      <c r="G4" s="145"/>
    </row>
    <row r="5" spans="2:7" ht="22.9" customHeight="1" x14ac:dyDescent="0.25">
      <c r="B5" s="81" t="s">
        <v>53</v>
      </c>
      <c r="C5" s="94">
        <f>VLOOKUP('فیش حقوقی'!C3,'لیست حقوق'!A7:C16,3,0)</f>
        <v>31</v>
      </c>
      <c r="D5" s="81" t="s">
        <v>46</v>
      </c>
      <c r="E5" s="87">
        <f>VLOOKUP(C3,'لیست حقوق'!A7:U16,4,0)</f>
        <v>54852268</v>
      </c>
      <c r="F5" s="81" t="s">
        <v>48</v>
      </c>
      <c r="G5" s="87">
        <f>VLOOKUP(C3,'لیست حقوق'!A7:U16,12,0)</f>
        <v>20671419.660409275</v>
      </c>
    </row>
    <row r="6" spans="2:7" ht="22.9" customHeight="1" x14ac:dyDescent="0.25">
      <c r="B6" s="81"/>
      <c r="C6" s="95"/>
      <c r="D6" s="81" t="s">
        <v>6</v>
      </c>
      <c r="E6" s="88">
        <f>VLOOKUP(C3,'لیست حقوق'!A7:U16,5,0)</f>
        <v>0</v>
      </c>
      <c r="F6" s="81" t="s">
        <v>49</v>
      </c>
      <c r="G6" s="88">
        <f>VLOOKUP(C3,'لیست حقوق'!A7:U16,13,0)</f>
        <v>29379974.849145971</v>
      </c>
    </row>
    <row r="7" spans="2:7" ht="22.9" customHeight="1" x14ac:dyDescent="0.25">
      <c r="B7" s="81" t="s">
        <v>11</v>
      </c>
      <c r="C7" s="95" t="str">
        <f>CONCATENATE(VLOOKUP(C3,'لیست حقوق'!A7:I16,9,0),":",+VLOOKUP(C3,'لیست حقوق'!A7:I16,8,0))</f>
        <v>350:0</v>
      </c>
      <c r="D7" s="81" t="s">
        <v>14</v>
      </c>
      <c r="E7" s="88">
        <f>VLOOKUP(C3,'لیست حقوق'!A7:U16,6,0)</f>
        <v>20000000</v>
      </c>
      <c r="F7" s="81" t="s">
        <v>20</v>
      </c>
      <c r="G7" s="88">
        <f>VLOOKUP(C3,'لیست حقوق'!A7:U16,14,0)</f>
        <v>100000000</v>
      </c>
    </row>
    <row r="8" spans="2:7" ht="22.9" customHeight="1" x14ac:dyDescent="0.25">
      <c r="B8" s="81"/>
      <c r="C8" s="95"/>
      <c r="D8" s="81" t="s">
        <v>15</v>
      </c>
      <c r="E8" s="88">
        <f>VLOOKUP(C3,'لیست حقوق'!A7:U16,7,0)</f>
        <v>102170000</v>
      </c>
      <c r="F8" s="81" t="s">
        <v>21</v>
      </c>
      <c r="G8" s="88">
        <f>VLOOKUP(C3,'لیست حقوق'!A7:U16,15,0)</f>
        <v>0</v>
      </c>
    </row>
    <row r="9" spans="2:7" ht="22.9" customHeight="1" x14ac:dyDescent="0.25">
      <c r="B9" s="81" t="s">
        <v>23</v>
      </c>
      <c r="C9" s="95" t="str">
        <f>CONCATENATE(VLOOKUP(C3,'لیست حقوق'!A7:Q16,17,0),":",+VLOOKUP(C3,'لیست حقوق'!A7:Q16,16,0))</f>
        <v>30:0</v>
      </c>
      <c r="D9" s="81" t="s">
        <v>47</v>
      </c>
      <c r="E9" s="88">
        <f>VLOOKUP(C3,'لیست حقوق'!A7:U16,10,0)</f>
        <v>118283727.14870396</v>
      </c>
      <c r="F9" s="81" t="s">
        <v>23</v>
      </c>
      <c r="G9" s="88">
        <f>VLOOKUP(C3,'لیست حقوق'!A7:U16,18,0)</f>
        <v>10138605.184174625</v>
      </c>
    </row>
    <row r="10" spans="2:7" ht="22.9" customHeight="1" thickBot="1" x14ac:dyDescent="0.3">
      <c r="B10" s="83"/>
      <c r="C10" s="96"/>
      <c r="D10" s="83"/>
      <c r="E10" s="89"/>
      <c r="F10" s="76" t="s">
        <v>24</v>
      </c>
      <c r="G10" s="89">
        <f>VLOOKUP(C3,'لیست حقوق'!A7:U16,19,0)</f>
        <v>0</v>
      </c>
    </row>
    <row r="11" spans="2:7" ht="22.9" customHeight="1" thickBot="1" x14ac:dyDescent="0.3">
      <c r="B11" s="148" t="s">
        <v>39</v>
      </c>
      <c r="C11" s="149"/>
      <c r="D11" s="91"/>
      <c r="E11" s="90">
        <f>SUM(E5:E10)</f>
        <v>295305995.14870393</v>
      </c>
      <c r="F11" s="74"/>
      <c r="G11" s="92">
        <f>SUM(G5:G10)</f>
        <v>160189999.69372988</v>
      </c>
    </row>
    <row r="12" spans="2:7" s="75" customFormat="1" ht="17.25" customHeight="1" x14ac:dyDescent="0.25">
      <c r="B12" s="141" t="s">
        <v>26</v>
      </c>
      <c r="C12" s="142"/>
      <c r="D12" s="142"/>
      <c r="E12" s="143">
        <f>VLOOKUP(C3,'لیست حقوق'!A7:U16,21,0)</f>
        <v>4.5450259447097778</v>
      </c>
      <c r="F12" s="143"/>
      <c r="G12" s="93"/>
    </row>
    <row r="13" spans="2:7" ht="22.9" customHeight="1" thickBot="1" x14ac:dyDescent="0.3">
      <c r="B13" s="146" t="s">
        <v>51</v>
      </c>
      <c r="C13" s="147"/>
      <c r="D13" s="147"/>
      <c r="E13" s="140">
        <f>E11-G11+E12</f>
        <v>135116000</v>
      </c>
      <c r="F13" s="140"/>
      <c r="G13" s="82" t="s">
        <v>52</v>
      </c>
    </row>
  </sheetData>
  <sheetProtection algorithmName="SHA-512" hashValue="2ye0rv9ahAqJT5gRm5qJ1XaDwgDFup1g/DUs14GSAnYiYDWp3HtwzkYTxJx8iig1itYcwCLoq9dvrHx16c43Yg==" saltValue="gR4ajF/5N6cTdU7gouVB6Q==" spinCount="100000" sheet="1" objects="1" scenarios="1"/>
  <mergeCells count="9">
    <mergeCell ref="B1:G1"/>
    <mergeCell ref="E13:F13"/>
    <mergeCell ref="B12:D12"/>
    <mergeCell ref="E12:F12"/>
    <mergeCell ref="D4:E4"/>
    <mergeCell ref="F4:G4"/>
    <mergeCell ref="B4:C4"/>
    <mergeCell ref="B13:D13"/>
    <mergeCell ref="B11:C11"/>
  </mergeCells>
  <pageMargins left="0.36" right="0.22" top="0.61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 T a b l e 1 - f 6 c c f 1 1 7 - 0 3 3 6 - 4 e 1 7 - b 2 8 b - 7 7 1 1 0 c b c 0 d 5 1 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 1 0 0 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1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 T a b l e 1 < / E x c e l T a b l e N a m e > < G e m i n i T a b l e I d > T a b l e 1 - f 6 c c f 1 1 7 - 0 3 3 6 - 4 e 1 7 - b 2 8 b - 7 7 1 1 0 c b c 0 d 5 1 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O r d e r " > < C u s t o m C o n t e n t > < ! [ C D A T A [ T a b l e 1 - f 6 c c f 1 1 7 - 0 3 3 6 - 4 e 1 7 - b 2 8 b - 7 7 1 1 0 c b c 0 d 5 1 ] ] > < / C u s t o m C o n t e n t > < / G e m i n i > 
</file>

<file path=customXml/item1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 T a b l e 1 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 A c t i o n s \ A u t o M e a s u r e _ D i s t i n c t C o u n t 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 A c t i o n s \ D e l e t e 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 C o l u m n s \ C o l u m n 1 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 C o l u m n s \ C o l u m n 1 < / K e y > < / a : K e y > < a : V a l u e   i : t y p e = " M e a s u r e G r i d N o d e V i e w S t a t e "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T a b l e 1 - f 6 c c f 1 1 7 - 0 3 3 6 - 4 e 1 7 - b 2 8 b - 7 7 1 1 0 c b c 0 d 5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 C o l u m n 1 < / s t r i n g > < / k e y > < v a l u e > < i n t > 1 1 2 < / i n t > < / v a l u e > < / i t e m > < / C o l u m n W i d t h s > < C o l u m n D i s p l a y I n d e x > < i t e m > < k e y > < s t r i n g > C o l u m n 1 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P o w e r P i v o t V e r s i o n " > < C u s t o m C o n t e n t > < ! [ C D A T A [ 2 0 1 1 . 1 1 0 . 2 8 0 9 . 9 2 ] ] > < / C u s t o m C o n t e n t > < / G e m i n i > 
</file>

<file path=customXml/item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 2 0 2 1 - 0 1 - 2 5 T 1 7 : 2 9 : 1 5 . 3 2 1 6 1 9 2 + 0 3 : 3 0 < / L a s t P r o c e s s e d T i m e > < / D a t a M o d e l i n g S a n d b o x . S e r i a l i z e d S a n d b o x E r r o r C a c h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C l i e n t W i n d o w X M L " > < C u s t o m C o n t e n t > < ! [ C D A T A [ T a b l e 1 - f 6 c c f 1 1 7 - 0 3 3 6 - 4 e 1 7 - b 2 8 b - 7 7 1 1 0 c b c 0 d 5 1 ] ] > < / C u s t o m C o n t e n t > < / G e m i n i > 
</file>

<file path=customXml/item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Props1.xml><?xml version="1.0" encoding="utf-8"?>
<ds:datastoreItem xmlns:ds="http://schemas.openxmlformats.org/officeDocument/2006/customXml" ds:itemID="{343C348E-7D19-42B6-A6A0-5635A62A599D}">
  <ds:schemaRefs/>
</ds:datastoreItem>
</file>

<file path=customXml/itemProps10.xml><?xml version="1.0" encoding="utf-8"?>
<ds:datastoreItem xmlns:ds="http://schemas.openxmlformats.org/officeDocument/2006/customXml" ds:itemID="{82B9D559-0062-43CB-B798-BCC02B47304D}">
  <ds:schemaRefs/>
</ds:datastoreItem>
</file>

<file path=customXml/itemProps11.xml><?xml version="1.0" encoding="utf-8"?>
<ds:datastoreItem xmlns:ds="http://schemas.openxmlformats.org/officeDocument/2006/customXml" ds:itemID="{419E0FF0-0987-4E8A-B7F4-0CB42BFF0341}">
  <ds:schemaRefs/>
</ds:datastoreItem>
</file>

<file path=customXml/itemProps12.xml><?xml version="1.0" encoding="utf-8"?>
<ds:datastoreItem xmlns:ds="http://schemas.openxmlformats.org/officeDocument/2006/customXml" ds:itemID="{1094CAF2-3DD9-430D-BDCB-0EE554D2008D}">
  <ds:schemaRefs/>
</ds:datastoreItem>
</file>

<file path=customXml/itemProps13.xml><?xml version="1.0" encoding="utf-8"?>
<ds:datastoreItem xmlns:ds="http://schemas.openxmlformats.org/officeDocument/2006/customXml" ds:itemID="{04C0B4D4-1AD3-40BF-9CB6-C99162A7A6E5}">
  <ds:schemaRefs/>
</ds:datastoreItem>
</file>

<file path=customXml/itemProps14.xml><?xml version="1.0" encoding="utf-8"?>
<ds:datastoreItem xmlns:ds="http://schemas.openxmlformats.org/officeDocument/2006/customXml" ds:itemID="{588BC28E-5D3A-42D4-9187-28A90366E989}">
  <ds:schemaRefs/>
</ds:datastoreItem>
</file>

<file path=customXml/itemProps15.xml><?xml version="1.0" encoding="utf-8"?>
<ds:datastoreItem xmlns:ds="http://schemas.openxmlformats.org/officeDocument/2006/customXml" ds:itemID="{99D0A5E3-857F-47A2-8E79-39244BF49CBD}">
  <ds:schemaRefs/>
</ds:datastoreItem>
</file>

<file path=customXml/itemProps16.xml><?xml version="1.0" encoding="utf-8"?>
<ds:datastoreItem xmlns:ds="http://schemas.openxmlformats.org/officeDocument/2006/customXml" ds:itemID="{AD05B22F-F34F-42A3-9563-985529ADDA60}">
  <ds:schemaRefs/>
</ds:datastoreItem>
</file>

<file path=customXml/itemProps2.xml><?xml version="1.0" encoding="utf-8"?>
<ds:datastoreItem xmlns:ds="http://schemas.openxmlformats.org/officeDocument/2006/customXml" ds:itemID="{6C29CBD5-73A1-45FA-9EA7-E0FCF2524583}">
  <ds:schemaRefs/>
</ds:datastoreItem>
</file>

<file path=customXml/itemProps3.xml><?xml version="1.0" encoding="utf-8"?>
<ds:datastoreItem xmlns:ds="http://schemas.openxmlformats.org/officeDocument/2006/customXml" ds:itemID="{A7D6EE6E-8E2D-4D6A-BF02-47039F86026D}">
  <ds:schemaRefs/>
</ds:datastoreItem>
</file>

<file path=customXml/itemProps4.xml><?xml version="1.0" encoding="utf-8"?>
<ds:datastoreItem xmlns:ds="http://schemas.openxmlformats.org/officeDocument/2006/customXml" ds:itemID="{54D35166-2F54-41F1-AEAB-7502272D053B}">
  <ds:schemaRefs/>
</ds:datastoreItem>
</file>

<file path=customXml/itemProps5.xml><?xml version="1.0" encoding="utf-8"?>
<ds:datastoreItem xmlns:ds="http://schemas.openxmlformats.org/officeDocument/2006/customXml" ds:itemID="{5E21DC56-7AA5-4EC5-AE0E-55BCCE671329}">
  <ds:schemaRefs/>
</ds:datastoreItem>
</file>

<file path=customXml/itemProps6.xml><?xml version="1.0" encoding="utf-8"?>
<ds:datastoreItem xmlns:ds="http://schemas.openxmlformats.org/officeDocument/2006/customXml" ds:itemID="{0481CC2A-C935-42AD-8C25-8AF4AD2113D7}">
  <ds:schemaRefs/>
</ds:datastoreItem>
</file>

<file path=customXml/itemProps7.xml><?xml version="1.0" encoding="utf-8"?>
<ds:datastoreItem xmlns:ds="http://schemas.openxmlformats.org/officeDocument/2006/customXml" ds:itemID="{3D3EA7BA-C4CF-421D-A68B-7AC7F4CB84B1}">
  <ds:schemaRefs/>
</ds:datastoreItem>
</file>

<file path=customXml/itemProps8.xml><?xml version="1.0" encoding="utf-8"?>
<ds:datastoreItem xmlns:ds="http://schemas.openxmlformats.org/officeDocument/2006/customXml" ds:itemID="{3FD01636-5540-4572-B592-81B75DC9E593}">
  <ds:schemaRefs/>
</ds:datastoreItem>
</file>

<file path=customXml/itemProps9.xml><?xml version="1.0" encoding="utf-8"?>
<ds:datastoreItem xmlns:ds="http://schemas.openxmlformats.org/officeDocument/2006/customXml" ds:itemID="{01BED3E5-7884-4879-ADA0-FA4085D489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قرارداد</vt:lpstr>
      <vt:lpstr>لیست حقوق</vt:lpstr>
      <vt:lpstr>جدول مالیات</vt:lpstr>
      <vt:lpstr>فیش حقوقی</vt:lpstr>
      <vt:lpstr>'لیست حقوق'!Print_Area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limoonad.com</dc:title>
  <dc:subject>رسانه آموزشی لیموناد</dc:subject>
  <dc:creator/>
  <cp:keywords>اکسل حقوق و دستمزد 1400</cp:keywords>
  <cp:lastModifiedBy/>
  <dcterms:created xsi:type="dcterms:W3CDTF">2006-09-16T00:00:00Z</dcterms:created>
  <dcterms:modified xsi:type="dcterms:W3CDTF">2023-04-03T11:01:16Z</dcterms:modified>
  <cp:version>1400-01</cp:version>
</cp:coreProperties>
</file>