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codeName="ThisWorkbook" defaultThemeVersion="124226"/>
  <xr:revisionPtr revIDLastSave="0" documentId="13_ncr:1_{4CDEF3E1-DCEB-451E-B4AB-2E529BEA14CB}" xr6:coauthVersionLast="47" xr6:coauthVersionMax="47" xr10:uidLastSave="{00000000-0000-0000-0000-000000000000}"/>
  <workbookProtection workbookAlgorithmName="SHA-512" workbookHashValue="Da4LVa+olLlB8LIzgCKN0JuO23or9quSenX4RsXkgkS+q4Jwbev8FX6l3pb2VeqhkzFySIcm0V+uMcKQEJ5e0Q==" workbookSaltValue="NCJSXSkIwW2L1cX2QZND8A==" workbookSpinCount="100000" lockStructure="1"/>
  <bookViews>
    <workbookView xWindow="-120" yWindow="-120" windowWidth="20730" windowHeight="11160" activeTab="1" xr2:uid="{00000000-000D-0000-FFFF-FFFF00000000}"/>
  </bookViews>
  <sheets>
    <sheet name="قرارداد" sheetId="1" r:id="rId1"/>
    <sheet name="لیست حقوق" sheetId="2" r:id="rId2"/>
    <sheet name="جدول مالیات" sheetId="3" r:id="rId3"/>
    <sheet name="فیش حقوقی" sheetId="4" r:id="rId4"/>
  </sheets>
  <definedNames>
    <definedName name="_xlcn.LinkedTable_Table11" hidden="1">Table1</definedName>
    <definedName name="_xlnm.Print_Area" localSheetId="1">'لیست حقوق'!$A$1:$V$20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-f6ccf117-0336-4e17-b28b-77110cbc0d51" name="Table1" connection="LinkedTable_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2" l="1"/>
  <c r="R9" i="2"/>
  <c r="R10" i="2"/>
  <c r="R11" i="2"/>
  <c r="R12" i="2"/>
  <c r="R13" i="2"/>
  <c r="R14" i="2"/>
  <c r="R15" i="2"/>
  <c r="R16" i="2"/>
  <c r="R7" i="2"/>
  <c r="I17" i="2"/>
  <c r="J16" i="2"/>
  <c r="J15" i="2"/>
  <c r="J14" i="2"/>
  <c r="J13" i="2"/>
  <c r="J12" i="2"/>
  <c r="J11" i="2"/>
  <c r="J10" i="2"/>
  <c r="J9" i="2"/>
  <c r="J7" i="2"/>
  <c r="J8" i="2"/>
  <c r="G2" i="4"/>
  <c r="K7" i="1" l="1"/>
  <c r="K8" i="1"/>
  <c r="K9" i="1"/>
  <c r="K10" i="1"/>
  <c r="K11" i="1"/>
  <c r="K12" i="1"/>
  <c r="C17" i="2"/>
  <c r="K3" i="1"/>
  <c r="K4" i="1"/>
  <c r="G10" i="4" l="1"/>
  <c r="G8" i="4"/>
  <c r="G7" i="4"/>
  <c r="C9" i="4"/>
  <c r="C7" i="4"/>
  <c r="C5" i="4"/>
  <c r="G3" i="4"/>
  <c r="B1" i="4"/>
  <c r="E13" i="2" l="1"/>
  <c r="K5" i="1" l="1"/>
  <c r="K6" i="1"/>
  <c r="P17" i="2" l="1"/>
  <c r="Q17" i="2"/>
  <c r="S17" i="2"/>
  <c r="H17" i="2"/>
  <c r="N17" i="2"/>
  <c r="O17" i="2"/>
  <c r="E8" i="2"/>
  <c r="E9" i="2"/>
  <c r="E10" i="2"/>
  <c r="E11" i="2"/>
  <c r="E12" i="2"/>
  <c r="E14" i="2"/>
  <c r="E15" i="2"/>
  <c r="E16" i="2"/>
  <c r="E7" i="2"/>
  <c r="G9" i="4" l="1"/>
  <c r="E6" i="4"/>
  <c r="R17" i="2"/>
  <c r="E17" i="2"/>
  <c r="E9" i="4" l="1"/>
  <c r="D7" i="2"/>
  <c r="J17" i="2" l="1"/>
  <c r="G8" i="2"/>
  <c r="G9" i="2"/>
  <c r="G10" i="2"/>
  <c r="G11" i="2"/>
  <c r="G12" i="2"/>
  <c r="G13" i="2"/>
  <c r="G14" i="2"/>
  <c r="G15" i="2"/>
  <c r="G16" i="2"/>
  <c r="G7" i="2"/>
  <c r="O4" i="1"/>
  <c r="B8" i="2" s="1"/>
  <c r="P4" i="1"/>
  <c r="F8" i="2" s="1"/>
  <c r="O5" i="1"/>
  <c r="B9" i="2" s="1"/>
  <c r="B7" i="3" s="1"/>
  <c r="P5" i="1"/>
  <c r="F9" i="2" s="1"/>
  <c r="O6" i="1"/>
  <c r="B10" i="2" s="1"/>
  <c r="B8" i="3" s="1"/>
  <c r="P6" i="1"/>
  <c r="F10" i="2" s="1"/>
  <c r="O7" i="1"/>
  <c r="B11" i="2" s="1"/>
  <c r="B9" i="3" s="1"/>
  <c r="P7" i="1"/>
  <c r="F11" i="2" s="1"/>
  <c r="O8" i="1"/>
  <c r="B12" i="2" s="1"/>
  <c r="B10" i="3" s="1"/>
  <c r="P8" i="1"/>
  <c r="F12" i="2" s="1"/>
  <c r="O9" i="1"/>
  <c r="B13" i="2" s="1"/>
  <c r="B11" i="3" s="1"/>
  <c r="P9" i="1"/>
  <c r="F13" i="2" s="1"/>
  <c r="O10" i="1"/>
  <c r="B14" i="2" s="1"/>
  <c r="B12" i="3" s="1"/>
  <c r="P10" i="1"/>
  <c r="F14" i="2" s="1"/>
  <c r="O11" i="1"/>
  <c r="B15" i="2" s="1"/>
  <c r="B13" i="3" s="1"/>
  <c r="P11" i="1"/>
  <c r="F15" i="2" s="1"/>
  <c r="O12" i="1"/>
  <c r="B16" i="2" s="1"/>
  <c r="B14" i="3" s="1"/>
  <c r="P12" i="1"/>
  <c r="F16" i="2" s="1"/>
  <c r="P3" i="1"/>
  <c r="F7" i="2" s="1"/>
  <c r="D8" i="2"/>
  <c r="D9" i="2"/>
  <c r="D10" i="2"/>
  <c r="D11" i="2"/>
  <c r="D12" i="2"/>
  <c r="D13" i="2"/>
  <c r="D14" i="2"/>
  <c r="D15" i="2"/>
  <c r="D16" i="2"/>
  <c r="O3" i="1"/>
  <c r="B7" i="2" s="1"/>
  <c r="L15" i="2" l="1"/>
  <c r="D13" i="3" s="1"/>
  <c r="W15" i="2"/>
  <c r="L14" i="2"/>
  <c r="D12" i="3" s="1"/>
  <c r="W14" i="2"/>
  <c r="W10" i="2"/>
  <c r="L13" i="2"/>
  <c r="W13" i="2"/>
  <c r="L16" i="2"/>
  <c r="W16" i="2"/>
  <c r="L12" i="2"/>
  <c r="W12" i="2"/>
  <c r="L8" i="2"/>
  <c r="D6" i="3" s="1"/>
  <c r="W11" i="2"/>
  <c r="W9" i="2"/>
  <c r="B6" i="3"/>
  <c r="L7" i="2"/>
  <c r="D5" i="3" s="1"/>
  <c r="W7" i="2"/>
  <c r="W8" i="2"/>
  <c r="L11" i="2"/>
  <c r="D9" i="3" s="1"/>
  <c r="L9" i="2"/>
  <c r="D7" i="3" s="1"/>
  <c r="L10" i="2"/>
  <c r="D11" i="3"/>
  <c r="D10" i="3"/>
  <c r="D14" i="3"/>
  <c r="D8" i="3"/>
  <c r="E5" i="4"/>
  <c r="E8" i="4"/>
  <c r="E3" i="4"/>
  <c r="E7" i="4"/>
  <c r="D17" i="2"/>
  <c r="B5" i="3"/>
  <c r="F17" i="2"/>
  <c r="G17" i="2"/>
  <c r="K7" i="2"/>
  <c r="C5" i="3" s="1"/>
  <c r="K14" i="2"/>
  <c r="C12" i="3" s="1"/>
  <c r="K10" i="2"/>
  <c r="C8" i="3" s="1"/>
  <c r="K13" i="2"/>
  <c r="C11" i="3" s="1"/>
  <c r="K9" i="2"/>
  <c r="C7" i="3" s="1"/>
  <c r="K16" i="2"/>
  <c r="C14" i="3" s="1"/>
  <c r="K12" i="2"/>
  <c r="C10" i="3" s="1"/>
  <c r="K15" i="2"/>
  <c r="C13" i="3" s="1"/>
  <c r="K11" i="2"/>
  <c r="C9" i="3" s="1"/>
  <c r="K8" i="2"/>
  <c r="C6" i="3" s="1"/>
  <c r="W17" i="2" l="1"/>
  <c r="E11" i="4"/>
  <c r="G5" i="4"/>
  <c r="E14" i="3"/>
  <c r="J14" i="3" s="1"/>
  <c r="E13" i="3"/>
  <c r="J13" i="3" s="1"/>
  <c r="E12" i="3"/>
  <c r="J12" i="3" s="1"/>
  <c r="E10" i="3"/>
  <c r="J10" i="3" s="1"/>
  <c r="E11" i="3"/>
  <c r="J11" i="3" s="1"/>
  <c r="E5" i="3"/>
  <c r="J5" i="3" s="1"/>
  <c r="E9" i="3"/>
  <c r="J9" i="3" s="1"/>
  <c r="E6" i="3"/>
  <c r="J6" i="3" s="1"/>
  <c r="E7" i="3"/>
  <c r="J7" i="3" s="1"/>
  <c r="E8" i="3"/>
  <c r="J8" i="3" s="1"/>
  <c r="L17" i="2"/>
  <c r="K17" i="2"/>
  <c r="F14" i="3"/>
  <c r="L19" i="2" l="1"/>
  <c r="L18" i="2"/>
  <c r="I14" i="3"/>
  <c r="G14" i="3"/>
  <c r="H14" i="3"/>
  <c r="H13" i="3"/>
  <c r="H12" i="3"/>
  <c r="I13" i="3"/>
  <c r="G12" i="3"/>
  <c r="I12" i="3"/>
  <c r="G13" i="3"/>
  <c r="G11" i="3"/>
  <c r="I10" i="3"/>
  <c r="H10" i="3"/>
  <c r="G10" i="3"/>
  <c r="I11" i="3"/>
  <c r="H11" i="3"/>
  <c r="G7" i="3"/>
  <c r="I7" i="3"/>
  <c r="H7" i="3"/>
  <c r="H6" i="3"/>
  <c r="I6" i="3"/>
  <c r="I9" i="3"/>
  <c r="H9" i="3"/>
  <c r="G8" i="3"/>
  <c r="I8" i="3"/>
  <c r="H8" i="3"/>
  <c r="G5" i="3"/>
  <c r="I5" i="3"/>
  <c r="H5" i="3"/>
  <c r="F6" i="3"/>
  <c r="G6" i="3"/>
  <c r="F9" i="3"/>
  <c r="G9" i="3"/>
  <c r="F8" i="3"/>
  <c r="F12" i="3"/>
  <c r="F7" i="3"/>
  <c r="F5" i="3"/>
  <c r="F13" i="3"/>
  <c r="F10" i="3"/>
  <c r="F11" i="3"/>
  <c r="J20" i="2" l="1"/>
  <c r="L20" i="2"/>
  <c r="K5" i="3"/>
  <c r="M7" i="2" s="1"/>
  <c r="K8" i="3"/>
  <c r="M10" i="2" s="1"/>
  <c r="K7" i="3"/>
  <c r="M9" i="2" s="1"/>
  <c r="K6" i="3"/>
  <c r="M8" i="2" s="1"/>
  <c r="K9" i="3"/>
  <c r="M11" i="2" s="1"/>
  <c r="G6" i="4" l="1"/>
  <c r="G11" i="4" s="1"/>
  <c r="T9" i="2"/>
  <c r="T8" i="2"/>
  <c r="T11" i="2"/>
  <c r="T10" i="2"/>
  <c r="K10" i="3" l="1"/>
  <c r="V8" i="2"/>
  <c r="U8" i="2" s="1"/>
  <c r="V10" i="2"/>
  <c r="U10" i="2" s="1"/>
  <c r="V9" i="2"/>
  <c r="U9" i="2" s="1"/>
  <c r="V11" i="2"/>
  <c r="U11" i="2" s="1"/>
  <c r="T7" i="2"/>
  <c r="M12" i="2" l="1"/>
  <c r="K11" i="3"/>
  <c r="M13" i="2" s="1"/>
  <c r="T13" i="2" s="1"/>
  <c r="V13" i="2" s="1"/>
  <c r="U13" i="2" s="1"/>
  <c r="V7" i="2"/>
  <c r="U7" i="2" s="1"/>
  <c r="E12" i="4" s="1"/>
  <c r="E13" i="4" s="1"/>
  <c r="K12" i="3" l="1"/>
  <c r="M14" i="2" s="1"/>
  <c r="T14" i="2" s="1"/>
  <c r="V14" i="2" s="1"/>
  <c r="U14" i="2" s="1"/>
  <c r="T12" i="2"/>
  <c r="K13" i="3" l="1"/>
  <c r="M15" i="2" s="1"/>
  <c r="T15" i="2" s="1"/>
  <c r="V15" i="2" s="1"/>
  <c r="U15" i="2" s="1"/>
  <c r="K14" i="3"/>
  <c r="M16" i="2" s="1"/>
  <c r="T16" i="2" s="1"/>
  <c r="V16" i="2" s="1"/>
  <c r="U16" i="2" s="1"/>
  <c r="V12" i="2"/>
  <c r="K15" i="3" l="1"/>
  <c r="M17" i="2"/>
  <c r="T17" i="2"/>
  <c r="U12" i="2"/>
  <c r="U17" i="2" s="1"/>
  <c r="V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Table1" type="102" refreshedVersion="5" minRefreshableVersion="5">
    <extLst>
      <ext xmlns:x15="http://schemas.microsoft.com/office/spreadsheetml/2010/11/main" uri="{DE250136-89BD-433C-8126-D09CA5730AF9}">
        <x15:connection id="Table1-f6ccf117-0336-4e17-b28b-77110cbc0d51">
          <x15:rangePr sourceName="_xlcn.LinkedTable_Table11"/>
        </x15:connection>
      </ext>
    </extLst>
  </connection>
  <connection id="2" xr16:uid="{00000000-0015-0000-FFFF-FFFF01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<sst xmlns="http://schemas.openxmlformats.org/spreadsheetml/2006/main" count="100" uniqueCount="77">
  <si>
    <t>نام</t>
  </si>
  <si>
    <t>نام خانوادگی</t>
  </si>
  <si>
    <t>شماره ملی</t>
  </si>
  <si>
    <t>حقوق پایه</t>
  </si>
  <si>
    <t>حق مسکن</t>
  </si>
  <si>
    <t>حق خواربار</t>
  </si>
  <si>
    <t>عائله مندی</t>
  </si>
  <si>
    <t>سایر مزایا (نسبت به کارکرد)</t>
  </si>
  <si>
    <t>نام کارمند</t>
  </si>
  <si>
    <t>کارکرد</t>
  </si>
  <si>
    <t xml:space="preserve">حقوق ثابت  </t>
  </si>
  <si>
    <t>اضافه کار</t>
  </si>
  <si>
    <t xml:space="preserve">جمع حقوق و مزایا </t>
  </si>
  <si>
    <t>عائله  مندی</t>
  </si>
  <si>
    <t>بن و مسکن</t>
  </si>
  <si>
    <t>سایر مزایا</t>
  </si>
  <si>
    <t>ساعت</t>
  </si>
  <si>
    <t>مبلغ</t>
  </si>
  <si>
    <t>7% حق بیمه</t>
  </si>
  <si>
    <t>مالیات</t>
  </si>
  <si>
    <t>قسط وام</t>
  </si>
  <si>
    <t>مساعده</t>
  </si>
  <si>
    <t>حقوق و مزایا</t>
  </si>
  <si>
    <t>کسر کار</t>
  </si>
  <si>
    <t>سایر کسورات</t>
  </si>
  <si>
    <t>جمع کسورات</t>
  </si>
  <si>
    <t>رند حقوق</t>
  </si>
  <si>
    <t>خالص دریافتی</t>
  </si>
  <si>
    <t>کسورات</t>
  </si>
  <si>
    <t>لیست حقوق و دستمزد</t>
  </si>
  <si>
    <t>سال</t>
  </si>
  <si>
    <t xml:space="preserve">دوره مربوط به ماه </t>
  </si>
  <si>
    <t>کد کارمند</t>
  </si>
  <si>
    <t>کد</t>
  </si>
  <si>
    <t>نام و نام خانوادگی</t>
  </si>
  <si>
    <t>سایر مزایا(عدد ثابت)</t>
  </si>
  <si>
    <t>دقیقه</t>
  </si>
  <si>
    <t xml:space="preserve">از </t>
  </si>
  <si>
    <t>تا</t>
  </si>
  <si>
    <t>جمع</t>
  </si>
  <si>
    <t>کارمند</t>
  </si>
  <si>
    <t>20% سهم کارفرما</t>
  </si>
  <si>
    <t>3% بیمه بیکاری</t>
  </si>
  <si>
    <t>حق بیمه پرداختنی</t>
  </si>
  <si>
    <t>جمع حقوق و مزایا</t>
  </si>
  <si>
    <t>ریز قرارداد کارکنان</t>
  </si>
  <si>
    <t>حقوق ثابت</t>
  </si>
  <si>
    <t>اضافه کاری</t>
  </si>
  <si>
    <t>بیمه سهم کارمند</t>
  </si>
  <si>
    <t>مالیات حقوق</t>
  </si>
  <si>
    <t>کارکرد ماهانه</t>
  </si>
  <si>
    <t>خالص پرداختی</t>
  </si>
  <si>
    <t>ريال</t>
  </si>
  <si>
    <t>کارکرد-روز</t>
  </si>
  <si>
    <t>کاوه</t>
  </si>
  <si>
    <t>علی</t>
  </si>
  <si>
    <t>حسینی</t>
  </si>
  <si>
    <t>رسانه آموزش لیموناد - limoonad.com</t>
  </si>
  <si>
    <t>احمد</t>
  </si>
  <si>
    <t>تابان</t>
  </si>
  <si>
    <t xml:space="preserve">مریم </t>
  </si>
  <si>
    <t>صدر</t>
  </si>
  <si>
    <t>کد پرسنلی</t>
  </si>
  <si>
    <t>مسعود</t>
  </si>
  <si>
    <t>کمانی</t>
  </si>
  <si>
    <t>بابا احمدی</t>
  </si>
  <si>
    <t>جمع هزینه پرداختی کارفرما</t>
  </si>
  <si>
    <t>ورود دیتا</t>
  </si>
  <si>
    <t>معافیت دو هفتم</t>
  </si>
  <si>
    <t>جمع کل</t>
  </si>
  <si>
    <t>مالیات (درصد)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</si>
  <si>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</si>
  <si>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</si>
  <si>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تاریخ</t>
  </si>
  <si>
    <t>پایه حقوق مشمول بیمه</t>
  </si>
  <si>
    <t>فروردین</t>
  </si>
  <si>
    <t>محاسبات مالیات حقوق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</si>
</sst>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.00_-;\(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IRANSansFaNum Medium"/>
      <family val="2"/>
    </font>
    <font>
      <sz val="11"/>
      <color theme="1"/>
      <name val="IRANSansFaNum Medium"/>
      <family val="2"/>
    </font>
    <font>
      <b/>
      <sz val="11"/>
      <color theme="1"/>
      <name val="IRANSansFaNum Medium"/>
      <family val="2"/>
    </font>
    <font>
      <b/>
      <sz val="12"/>
      <color theme="1"/>
      <name val="IRANSansFaNum Medium"/>
      <family val="2"/>
    </font>
    <font>
      <b/>
      <sz val="11"/>
      <color theme="0"/>
      <name val="IRANSansFaNum Medium"/>
      <family val="2"/>
    </font>
    <font>
      <sz val="14"/>
      <color theme="1"/>
      <name val="IRANSans(MonoSpacedNum) Medium"/>
      <family val="2"/>
    </font>
    <font>
      <sz val="11"/>
      <color theme="1"/>
      <name val="IRANSans(MonoSpacedNum) Medium"/>
      <family val="2"/>
    </font>
    <font>
      <sz val="10"/>
      <color theme="1"/>
      <name val="IRANSans(MonoSpacedNum) Medium"/>
      <family val="2"/>
    </font>
    <font>
      <sz val="11"/>
      <color theme="1" tint="0.499984740745262"/>
      <name val="IRANSans(MonoSpacedNum) Medium"/>
      <family val="2"/>
    </font>
    <font>
      <sz val="8"/>
      <color theme="1"/>
      <name val="IRANSans(MonoSpacedNum) Medium"/>
      <family val="2"/>
    </font>
    <font>
      <sz val="12"/>
      <color theme="1"/>
      <name val="IRANSans(MonoSpacedNum) Medium"/>
      <family val="2"/>
    </font>
    <font>
      <sz val="11"/>
      <color theme="0"/>
      <name val="IRANSans(MonoSpacedNum) Medium"/>
      <family val="2"/>
    </font>
    <font>
      <b/>
      <sz val="20"/>
      <color theme="0"/>
      <name val="IRANSansFaNum Medium"/>
      <family val="2"/>
    </font>
    <font>
      <b/>
      <sz val="14"/>
      <color theme="0"/>
      <name val="IRANSansFaNum Medium"/>
      <family val="2"/>
    </font>
    <font>
      <b/>
      <sz val="12"/>
      <color theme="1"/>
      <name val="IRANSansMobileFaNum Medium"/>
      <family val="2"/>
    </font>
    <font>
      <sz val="11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b/>
      <sz val="12"/>
      <color theme="0"/>
      <name val="IRANSansMobileFaNum Medium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03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37" fontId="3" fillId="0" borderId="8" xfId="1" applyNumberFormat="1" applyFont="1" applyBorder="1" applyAlignment="1" applyProtection="1">
      <alignment horizontal="center" vertical="center"/>
      <protection locked="0"/>
    </xf>
    <xf numFmtId="37" fontId="3" fillId="0" borderId="8" xfId="0" applyNumberFormat="1" applyFont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37" fontId="3" fillId="5" borderId="8" xfId="1" applyNumberFormat="1" applyFont="1" applyFill="1" applyBorder="1" applyAlignment="1" applyProtection="1">
      <alignment horizontal="center" vertical="center"/>
      <protection locked="0"/>
    </xf>
    <xf numFmtId="37" fontId="3" fillId="5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165" fontId="6" fillId="7" borderId="8" xfId="1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165" fontId="8" fillId="0" borderId="4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 readingOrder="2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8" fillId="0" borderId="1" xfId="1" applyNumberFormat="1" applyFont="1" applyBorder="1" applyAlignment="1" applyProtection="1">
      <alignment horizontal="center" vertical="center"/>
      <protection hidden="1"/>
    </xf>
    <xf numFmtId="38" fontId="10" fillId="0" borderId="2" xfId="1" applyNumberFormat="1" applyFont="1" applyBorder="1" applyAlignment="1" applyProtection="1">
      <alignment horizontal="center" vertical="center"/>
      <protection locked="0"/>
    </xf>
    <xf numFmtId="38" fontId="10" fillId="0" borderId="3" xfId="1" applyNumberFormat="1" applyFont="1" applyBorder="1" applyAlignment="1" applyProtection="1">
      <alignment horizontal="center" vertical="center"/>
      <protection locked="0"/>
    </xf>
    <xf numFmtId="38" fontId="8" fillId="0" borderId="1" xfId="1" applyNumberFormat="1" applyFont="1" applyBorder="1" applyAlignment="1">
      <alignment horizontal="center" vertical="center"/>
    </xf>
    <xf numFmtId="38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1" xfId="0" applyNumberFormat="1" applyFont="1" applyBorder="1" applyAlignment="1" applyProtection="1">
      <alignment horizontal="center" vertical="center"/>
      <protection hidden="1"/>
    </xf>
    <xf numFmtId="38" fontId="9" fillId="0" borderId="1" xfId="1" applyNumberFormat="1" applyFont="1" applyBorder="1" applyAlignment="1" applyProtection="1">
      <alignment horizontal="center" vertical="center"/>
      <protection hidden="1"/>
    </xf>
    <xf numFmtId="38" fontId="8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 applyAlignment="1">
      <alignment horizontal="center" vertical="center"/>
    </xf>
    <xf numFmtId="38" fontId="9" fillId="0" borderId="4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38" fontId="13" fillId="8" borderId="1" xfId="0" applyNumberFormat="1" applyFont="1" applyFill="1" applyBorder="1" applyAlignment="1" applyProtection="1">
      <alignment horizontal="center" vertical="center"/>
      <protection hidden="1"/>
    </xf>
    <xf numFmtId="165" fontId="9" fillId="9" borderId="1" xfId="1" applyNumberFormat="1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37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37" fontId="3" fillId="0" borderId="8" xfId="1" applyNumberFormat="1" applyFont="1" applyBorder="1" applyAlignment="1" applyProtection="1">
      <alignment horizontal="center" vertical="center"/>
      <protection hidden="1"/>
    </xf>
    <xf numFmtId="37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7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37" fontId="4" fillId="0" borderId="12" xfId="0" applyNumberFormat="1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37" fontId="3" fillId="0" borderId="14" xfId="1" applyNumberFormat="1" applyFont="1" applyBorder="1" applyAlignment="1" applyProtection="1">
      <alignment horizontal="center" vertical="center"/>
      <protection hidden="1"/>
    </xf>
    <xf numFmtId="37" fontId="3" fillId="0" borderId="14" xfId="1" applyNumberFormat="1" applyFont="1" applyFill="1" applyBorder="1" applyAlignment="1" applyProtection="1">
      <alignment horizontal="center" vertical="center"/>
      <protection hidden="1"/>
    </xf>
    <xf numFmtId="37" fontId="4" fillId="0" borderId="15" xfId="0" applyNumberFormat="1" applyFont="1" applyBorder="1" applyAlignment="1" applyProtection="1">
      <alignment horizontal="center" vertical="center"/>
      <protection hidden="1"/>
    </xf>
    <xf numFmtId="37" fontId="4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7" fontId="4" fillId="2" borderId="20" xfId="0" applyNumberFormat="1" applyFont="1" applyFill="1" applyBorder="1" applyAlignment="1" applyProtection="1">
      <alignment horizontal="center" vertical="center"/>
      <protection hidden="1"/>
    </xf>
    <xf numFmtId="165" fontId="4" fillId="12" borderId="8" xfId="1" applyNumberFormat="1" applyFont="1" applyFill="1" applyBorder="1" applyAlignment="1">
      <alignment horizontal="center" vertical="center"/>
    </xf>
    <xf numFmtId="37" fontId="4" fillId="12" borderId="8" xfId="1" applyNumberFormat="1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9" fontId="4" fillId="12" borderId="2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33" xfId="0" applyFont="1" applyBorder="1" applyAlignment="1">
      <alignment vertical="center"/>
    </xf>
    <xf numFmtId="0" fontId="17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6" fillId="0" borderId="37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37" fontId="17" fillId="0" borderId="43" xfId="1" applyNumberFormat="1" applyFont="1" applyBorder="1" applyAlignment="1">
      <alignment horizontal="center" vertical="center"/>
    </xf>
    <xf numFmtId="37" fontId="17" fillId="0" borderId="44" xfId="1" applyNumberFormat="1" applyFont="1" applyBorder="1" applyAlignment="1">
      <alignment horizontal="center" vertical="center"/>
    </xf>
    <xf numFmtId="37" fontId="17" fillId="0" borderId="45" xfId="1" applyNumberFormat="1" applyFont="1" applyBorder="1" applyAlignment="1">
      <alignment horizontal="center" vertical="center"/>
    </xf>
    <xf numFmtId="37" fontId="17" fillId="0" borderId="38" xfId="1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7" fontId="17" fillId="0" borderId="32" xfId="1" applyNumberFormat="1" applyFont="1" applyBorder="1" applyAlignment="1">
      <alignment horizontal="center" vertical="center"/>
    </xf>
    <xf numFmtId="165" fontId="19" fillId="0" borderId="32" xfId="1" applyNumberFormat="1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readingOrder="2"/>
    </xf>
    <xf numFmtId="0" fontId="13" fillId="8" borderId="9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5" fontId="8" fillId="9" borderId="9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165" fontId="8" fillId="0" borderId="4" xfId="1" applyNumberFormat="1" applyFont="1" applyBorder="1" applyAlignment="1">
      <alignment horizontal="center" vertical="center"/>
    </xf>
    <xf numFmtId="165" fontId="8" fillId="11" borderId="8" xfId="1" applyNumberFormat="1" applyFont="1" applyFill="1" applyBorder="1" applyAlignment="1" applyProtection="1">
      <alignment horizontal="center" vertical="center"/>
      <protection locked="0"/>
    </xf>
    <xf numFmtId="165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0" fontId="13" fillId="10" borderId="9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/>
    </xf>
    <xf numFmtId="165" fontId="4" fillId="12" borderId="23" xfId="1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 wrapText="1"/>
    </xf>
    <xf numFmtId="165" fontId="4" fillId="12" borderId="23" xfId="1" applyNumberFormat="1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165" fontId="20" fillId="0" borderId="40" xfId="1" applyNumberFormat="1" applyFont="1" applyBorder="1" applyAlignment="1">
      <alignment horizontal="right" vertical="center" wrapText="1" readingOrder="1"/>
    </xf>
    <xf numFmtId="0" fontId="18" fillId="0" borderId="3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66" fontId="19" fillId="0" borderId="42" xfId="1" applyNumberFormat="1" applyFont="1" applyBorder="1" applyAlignment="1" applyProtection="1">
      <alignment horizontal="center" vertical="center"/>
      <protection hidden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7F0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2"/>
  <sheetViews>
    <sheetView rightToLeft="1" zoomScaleNormal="100" workbookViewId="0">
      <selection activeCell="I4" sqref="I4"/>
    </sheetView>
  </sheetViews>
  <sheetFormatPr defaultRowHeight="19.5" x14ac:dyDescent="0.25"/>
  <cols>
    <col min="1" max="1" width="11.28515625" style="3" bestFit="1" customWidth="1"/>
    <col min="2" max="3" width="17.28515625" style="3" customWidth="1"/>
    <col min="4" max="4" width="15.28515625" style="3" customWidth="1"/>
    <col min="5" max="5" width="13.7109375" style="6" bestFit="1" customWidth="1"/>
    <col min="6" max="6" width="13.140625" style="6" bestFit="1" customWidth="1"/>
    <col min="7" max="7" width="13.7109375" style="6" bestFit="1" customWidth="1"/>
    <col min="8" max="8" width="16.42578125" style="6" bestFit="1" customWidth="1"/>
    <col min="9" max="10" width="17.140625" style="3" customWidth="1"/>
    <col min="11" max="11" width="19.28515625" style="3" bestFit="1" customWidth="1"/>
    <col min="12" max="14" width="9.140625" style="3"/>
    <col min="15" max="15" width="19.85546875" style="3" bestFit="1" customWidth="1"/>
    <col min="16" max="16" width="12.85546875" style="3" bestFit="1" customWidth="1"/>
    <col min="17" max="16384" width="9.140625" style="3"/>
  </cols>
  <sheetData>
    <row r="1" spans="1:16" ht="30" x14ac:dyDescent="0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6" s="4" customFormat="1" ht="58.5" x14ac:dyDescent="0.25">
      <c r="A2" s="16" t="s">
        <v>62</v>
      </c>
      <c r="B2" s="16" t="s">
        <v>0</v>
      </c>
      <c r="C2" s="16" t="s">
        <v>1</v>
      </c>
      <c r="D2" s="16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8" t="s">
        <v>35</v>
      </c>
      <c r="K2" s="16" t="s">
        <v>44</v>
      </c>
      <c r="O2" s="4" t="s">
        <v>34</v>
      </c>
      <c r="P2" s="4" t="s">
        <v>14</v>
      </c>
    </row>
    <row r="3" spans="1:16" ht="27" customHeight="1" x14ac:dyDescent="0.25">
      <c r="A3" s="7">
        <v>1</v>
      </c>
      <c r="B3" s="8" t="s">
        <v>55</v>
      </c>
      <c r="C3" s="8" t="s">
        <v>56</v>
      </c>
      <c r="D3" s="9"/>
      <c r="E3" s="10">
        <v>45829500</v>
      </c>
      <c r="F3" s="10">
        <v>6500000</v>
      </c>
      <c r="G3" s="10">
        <v>8500000</v>
      </c>
      <c r="H3" s="10">
        <v>0</v>
      </c>
      <c r="I3" s="10">
        <v>0</v>
      </c>
      <c r="J3" s="10">
        <v>0</v>
      </c>
      <c r="K3" s="11">
        <f>SUM(E3:J3)</f>
        <v>60829500</v>
      </c>
      <c r="O3" s="3" t="str">
        <f>CONCATENATE(B3," ",C3)</f>
        <v>علی حسینی</v>
      </c>
      <c r="P3" s="5">
        <f>F3+G3</f>
        <v>15000000</v>
      </c>
    </row>
    <row r="4" spans="1:16" ht="27" customHeight="1" x14ac:dyDescent="0.25">
      <c r="A4" s="7">
        <v>2</v>
      </c>
      <c r="B4" s="12" t="s">
        <v>58</v>
      </c>
      <c r="C4" s="12" t="s">
        <v>59</v>
      </c>
      <c r="D4" s="13"/>
      <c r="E4" s="14">
        <v>41797550</v>
      </c>
      <c r="F4" s="14">
        <v>6500000</v>
      </c>
      <c r="G4" s="14">
        <v>8500000</v>
      </c>
      <c r="H4" s="14">
        <v>0</v>
      </c>
      <c r="I4" s="14">
        <v>0</v>
      </c>
      <c r="J4" s="14">
        <v>0</v>
      </c>
      <c r="K4" s="15">
        <f>SUM(E4:J4)</f>
        <v>56797550</v>
      </c>
      <c r="O4" s="3" t="str">
        <f t="shared" ref="O4:O12" si="0">CONCATENATE(B4," ",C4)</f>
        <v>احمد تابان</v>
      </c>
      <c r="P4" s="5">
        <f t="shared" ref="P4:P12" si="1">F4+G4</f>
        <v>15000000</v>
      </c>
    </row>
    <row r="5" spans="1:16" ht="27" customHeight="1" x14ac:dyDescent="0.25">
      <c r="A5" s="7">
        <v>3</v>
      </c>
      <c r="B5" s="8" t="s">
        <v>60</v>
      </c>
      <c r="C5" s="8" t="s">
        <v>61</v>
      </c>
      <c r="D5" s="9"/>
      <c r="E5" s="10">
        <v>41797550</v>
      </c>
      <c r="F5" s="10">
        <v>6500000</v>
      </c>
      <c r="G5" s="10">
        <v>8500000</v>
      </c>
      <c r="H5" s="10">
        <v>0</v>
      </c>
      <c r="I5" s="10">
        <v>0</v>
      </c>
      <c r="J5" s="10">
        <v>0</v>
      </c>
      <c r="K5" s="11">
        <f t="shared" ref="K5:K12" si="2">SUM(E5:J5)</f>
        <v>56797550</v>
      </c>
      <c r="O5" s="3" t="str">
        <f t="shared" si="0"/>
        <v>مریم  صدر</v>
      </c>
      <c r="P5" s="5">
        <f t="shared" si="1"/>
        <v>15000000</v>
      </c>
    </row>
    <row r="6" spans="1:16" ht="27" customHeight="1" x14ac:dyDescent="0.25">
      <c r="A6" s="7">
        <v>4</v>
      </c>
      <c r="B6" s="12" t="s">
        <v>63</v>
      </c>
      <c r="C6" s="12" t="s">
        <v>64</v>
      </c>
      <c r="D6" s="13"/>
      <c r="E6" s="14">
        <v>41797550</v>
      </c>
      <c r="F6" s="14">
        <v>6500000</v>
      </c>
      <c r="G6" s="14">
        <v>8500000</v>
      </c>
      <c r="H6" s="14">
        <v>0</v>
      </c>
      <c r="I6" s="14">
        <v>0</v>
      </c>
      <c r="J6" s="14">
        <v>0</v>
      </c>
      <c r="K6" s="15">
        <f t="shared" si="2"/>
        <v>56797550</v>
      </c>
      <c r="O6" s="3" t="str">
        <f t="shared" si="0"/>
        <v>مسعود کمانی</v>
      </c>
      <c r="P6" s="5">
        <f t="shared" si="1"/>
        <v>15000000</v>
      </c>
    </row>
    <row r="7" spans="1:16" ht="27" customHeight="1" x14ac:dyDescent="0.25">
      <c r="A7" s="7">
        <v>5</v>
      </c>
      <c r="B7" s="8" t="s">
        <v>54</v>
      </c>
      <c r="C7" s="8" t="s">
        <v>65</v>
      </c>
      <c r="D7" s="9"/>
      <c r="E7" s="10">
        <v>41797550</v>
      </c>
      <c r="F7" s="10">
        <v>6500000</v>
      </c>
      <c r="G7" s="10">
        <v>8500000</v>
      </c>
      <c r="H7" s="10">
        <v>0</v>
      </c>
      <c r="I7" s="10">
        <v>0</v>
      </c>
      <c r="J7" s="10">
        <v>0</v>
      </c>
      <c r="K7" s="11">
        <f t="shared" si="2"/>
        <v>56797550</v>
      </c>
      <c r="O7" s="3" t="str">
        <f t="shared" si="0"/>
        <v>کاوه بابا احمدی</v>
      </c>
      <c r="P7" s="5">
        <f t="shared" si="1"/>
        <v>15000000</v>
      </c>
    </row>
    <row r="8" spans="1:16" ht="27" customHeight="1" x14ac:dyDescent="0.25">
      <c r="A8" s="7">
        <v>6</v>
      </c>
      <c r="B8" s="12"/>
      <c r="C8" s="12"/>
      <c r="D8" s="13"/>
      <c r="E8" s="14"/>
      <c r="F8" s="14"/>
      <c r="G8" s="14"/>
      <c r="H8" s="14"/>
      <c r="I8" s="14"/>
      <c r="J8" s="14"/>
      <c r="K8" s="15">
        <f t="shared" si="2"/>
        <v>0</v>
      </c>
      <c r="O8" s="3" t="str">
        <f t="shared" si="0"/>
        <v xml:space="preserve"> </v>
      </c>
      <c r="P8" s="5">
        <f t="shared" si="1"/>
        <v>0</v>
      </c>
    </row>
    <row r="9" spans="1:16" ht="27" customHeight="1" x14ac:dyDescent="0.25">
      <c r="A9" s="7">
        <v>7</v>
      </c>
      <c r="B9" s="8"/>
      <c r="C9" s="8"/>
      <c r="D9" s="9"/>
      <c r="E9" s="10"/>
      <c r="F9" s="10"/>
      <c r="G9" s="10"/>
      <c r="H9" s="10"/>
      <c r="I9" s="10"/>
      <c r="J9" s="10"/>
      <c r="K9" s="11">
        <f t="shared" si="2"/>
        <v>0</v>
      </c>
      <c r="O9" s="3" t="str">
        <f t="shared" si="0"/>
        <v xml:space="preserve"> </v>
      </c>
      <c r="P9" s="5">
        <f t="shared" si="1"/>
        <v>0</v>
      </c>
    </row>
    <row r="10" spans="1:16" ht="27" customHeight="1" x14ac:dyDescent="0.25">
      <c r="A10" s="7">
        <v>8</v>
      </c>
      <c r="B10" s="12"/>
      <c r="C10" s="12"/>
      <c r="D10" s="13"/>
      <c r="E10" s="14"/>
      <c r="F10" s="14"/>
      <c r="G10" s="14"/>
      <c r="H10" s="14"/>
      <c r="I10" s="14"/>
      <c r="J10" s="14"/>
      <c r="K10" s="15">
        <f t="shared" si="2"/>
        <v>0</v>
      </c>
      <c r="O10" s="3" t="str">
        <f t="shared" si="0"/>
        <v xml:space="preserve"> </v>
      </c>
      <c r="P10" s="5">
        <f t="shared" si="1"/>
        <v>0</v>
      </c>
    </row>
    <row r="11" spans="1:16" ht="27" customHeight="1" x14ac:dyDescent="0.25">
      <c r="A11" s="7">
        <v>9</v>
      </c>
      <c r="B11" s="8"/>
      <c r="C11" s="8"/>
      <c r="D11" s="9"/>
      <c r="E11" s="10"/>
      <c r="F11" s="10"/>
      <c r="G11" s="10"/>
      <c r="H11" s="10"/>
      <c r="I11" s="10"/>
      <c r="J11" s="10"/>
      <c r="K11" s="11">
        <f t="shared" si="2"/>
        <v>0</v>
      </c>
      <c r="O11" s="3" t="str">
        <f t="shared" si="0"/>
        <v xml:space="preserve"> </v>
      </c>
      <c r="P11" s="5">
        <f t="shared" si="1"/>
        <v>0</v>
      </c>
    </row>
    <row r="12" spans="1:16" ht="27" customHeight="1" x14ac:dyDescent="0.25">
      <c r="A12" s="7">
        <v>10</v>
      </c>
      <c r="B12" s="12"/>
      <c r="C12" s="12"/>
      <c r="D12" s="13"/>
      <c r="E12" s="14"/>
      <c r="F12" s="14"/>
      <c r="G12" s="14"/>
      <c r="H12" s="14"/>
      <c r="I12" s="14"/>
      <c r="J12" s="14"/>
      <c r="K12" s="15">
        <f t="shared" si="2"/>
        <v>0</v>
      </c>
      <c r="O12" s="3" t="str">
        <f t="shared" si="0"/>
        <v xml:space="preserve"> </v>
      </c>
      <c r="P12" s="5">
        <f t="shared" si="1"/>
        <v>0</v>
      </c>
    </row>
  </sheetData>
  <sheetProtection algorithmName="SHA-512" hashValue="GcKGqXXsSyXawmzavYWd9vsETs3UDt2W15/fP40ZtWCdfMew4mZSwK6HwSIkOQHxVJth5OSYoaCMTX7W2Eq8yQ==" saltValue="NcQNPerWPWgzVkFdWQTJMA==" spinCount="100000" sheet="1" objects="1" scenarios="1" selectLockedCells="1"/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21"/>
  <sheetViews>
    <sheetView rightToLeft="1" tabSelected="1" view="pageBreakPreview" topLeftCell="A8" zoomScaleNormal="100" zoomScaleSheetLayoutView="100" workbookViewId="0">
      <selection activeCell="A20" sqref="A20"/>
    </sheetView>
  </sheetViews>
  <sheetFormatPr defaultColWidth="9" defaultRowHeight="19.5" x14ac:dyDescent="0.25"/>
  <cols>
    <col min="1" max="1" width="6.5703125" style="20" customWidth="1"/>
    <col min="2" max="2" width="14.7109375" style="20" bestFit="1" customWidth="1"/>
    <col min="3" max="3" width="8.85546875" style="20" bestFit="1" customWidth="1"/>
    <col min="4" max="4" width="14.85546875" style="26" bestFit="1" customWidth="1"/>
    <col min="5" max="5" width="14.28515625" style="26" customWidth="1"/>
    <col min="6" max="6" width="15" style="26" bestFit="1" customWidth="1"/>
    <col min="7" max="7" width="14.28515625" style="26" customWidth="1"/>
    <col min="8" max="9" width="6" style="26" customWidth="1"/>
    <col min="10" max="10" width="15.42578125" style="26" bestFit="1" customWidth="1"/>
    <col min="11" max="11" width="16.85546875" style="20" bestFit="1" customWidth="1"/>
    <col min="12" max="12" width="15.42578125" style="20" bestFit="1" customWidth="1"/>
    <col min="13" max="13" width="16.42578125" style="20" bestFit="1" customWidth="1"/>
    <col min="14" max="15" width="14.28515625" style="20" customWidth="1"/>
    <col min="16" max="16" width="6" style="26" customWidth="1"/>
    <col min="17" max="17" width="6" style="20" customWidth="1"/>
    <col min="18" max="20" width="14.28515625" style="20" customWidth="1"/>
    <col min="21" max="21" width="10.140625" style="29" customWidth="1"/>
    <col min="22" max="22" width="14.85546875" style="20" bestFit="1" customWidth="1"/>
    <col min="23" max="23" width="18.42578125" style="20" bestFit="1" customWidth="1"/>
    <col min="24" max="16384" width="9" style="20"/>
  </cols>
  <sheetData>
    <row r="1" spans="1:23" s="19" customFormat="1" ht="24" x14ac:dyDescent="0.25">
      <c r="A1" s="112" t="s">
        <v>57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3" s="19" customFormat="1" ht="24" x14ac:dyDescent="0.25">
      <c r="A2" s="112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 t="s">
        <v>31</v>
      </c>
      <c r="U2" s="112"/>
      <c r="V2" s="112"/>
    </row>
    <row r="3" spans="1:23" ht="20.25" x14ac:dyDescent="0.25">
      <c r="A3" s="117"/>
      <c r="B3" s="117"/>
      <c r="C3" s="46" t="s">
        <v>67</v>
      </c>
      <c r="D3" s="114"/>
      <c r="E3" s="114"/>
      <c r="F3" s="114"/>
      <c r="G3" s="114"/>
      <c r="H3" s="115" t="s">
        <v>67</v>
      </c>
      <c r="I3" s="115"/>
      <c r="J3" s="114"/>
      <c r="K3" s="114"/>
      <c r="L3" s="114"/>
      <c r="M3" s="114"/>
      <c r="N3" s="116" t="s">
        <v>67</v>
      </c>
      <c r="O3" s="116"/>
      <c r="P3" s="116"/>
      <c r="Q3" s="116"/>
      <c r="R3" s="47"/>
      <c r="S3" s="46" t="s">
        <v>67</v>
      </c>
      <c r="T3" s="46" t="s">
        <v>75</v>
      </c>
      <c r="U3" s="48" t="s">
        <v>30</v>
      </c>
      <c r="V3" s="46">
        <v>1401</v>
      </c>
    </row>
    <row r="4" spans="1:23" x14ac:dyDescent="0.25">
      <c r="A4" s="99" t="s">
        <v>32</v>
      </c>
      <c r="B4" s="101" t="s">
        <v>8</v>
      </c>
      <c r="C4" s="101" t="s">
        <v>9</v>
      </c>
      <c r="D4" s="108" t="s">
        <v>22</v>
      </c>
      <c r="E4" s="108"/>
      <c r="F4" s="108"/>
      <c r="G4" s="108"/>
      <c r="H4" s="108"/>
      <c r="I4" s="108"/>
      <c r="J4" s="108"/>
      <c r="K4" s="106" t="s">
        <v>12</v>
      </c>
      <c r="L4" s="124" t="s">
        <v>28</v>
      </c>
      <c r="M4" s="124"/>
      <c r="N4" s="124"/>
      <c r="O4" s="124"/>
      <c r="P4" s="124"/>
      <c r="Q4" s="124"/>
      <c r="R4" s="124"/>
      <c r="S4" s="124"/>
      <c r="T4" s="118" t="s">
        <v>25</v>
      </c>
      <c r="U4" s="120" t="s">
        <v>26</v>
      </c>
      <c r="V4" s="122" t="s">
        <v>27</v>
      </c>
      <c r="W4" s="109" t="s">
        <v>74</v>
      </c>
    </row>
    <row r="5" spans="1:23" x14ac:dyDescent="0.25">
      <c r="A5" s="100"/>
      <c r="B5" s="102"/>
      <c r="C5" s="102"/>
      <c r="D5" s="103" t="s">
        <v>10</v>
      </c>
      <c r="E5" s="103" t="s">
        <v>13</v>
      </c>
      <c r="F5" s="103" t="s">
        <v>14</v>
      </c>
      <c r="G5" s="103" t="s">
        <v>15</v>
      </c>
      <c r="H5" s="103" t="s">
        <v>11</v>
      </c>
      <c r="I5" s="103"/>
      <c r="J5" s="103"/>
      <c r="K5" s="107"/>
      <c r="L5" s="105" t="s">
        <v>18</v>
      </c>
      <c r="M5" s="105" t="s">
        <v>19</v>
      </c>
      <c r="N5" s="105" t="s">
        <v>20</v>
      </c>
      <c r="O5" s="105" t="s">
        <v>21</v>
      </c>
      <c r="P5" s="104" t="s">
        <v>23</v>
      </c>
      <c r="Q5" s="104"/>
      <c r="R5" s="104"/>
      <c r="S5" s="104" t="s">
        <v>24</v>
      </c>
      <c r="T5" s="119"/>
      <c r="U5" s="121"/>
      <c r="V5" s="123"/>
      <c r="W5" s="109"/>
    </row>
    <row r="6" spans="1:23" x14ac:dyDescent="0.25">
      <c r="A6" s="100"/>
      <c r="B6" s="102"/>
      <c r="C6" s="102"/>
      <c r="D6" s="103"/>
      <c r="E6" s="103"/>
      <c r="F6" s="103"/>
      <c r="G6" s="103"/>
      <c r="H6" s="43" t="s">
        <v>36</v>
      </c>
      <c r="I6" s="44" t="s">
        <v>16</v>
      </c>
      <c r="J6" s="45" t="s">
        <v>17</v>
      </c>
      <c r="K6" s="107"/>
      <c r="L6" s="105"/>
      <c r="M6" s="105"/>
      <c r="N6" s="105"/>
      <c r="O6" s="105"/>
      <c r="P6" s="40" t="s">
        <v>36</v>
      </c>
      <c r="Q6" s="40" t="s">
        <v>16</v>
      </c>
      <c r="R6" s="21" t="s">
        <v>17</v>
      </c>
      <c r="S6" s="104"/>
      <c r="T6" s="119"/>
      <c r="U6" s="121"/>
      <c r="V6" s="123"/>
      <c r="W6" s="110"/>
    </row>
    <row r="7" spans="1:23" ht="24.6" customHeight="1" x14ac:dyDescent="0.25">
      <c r="A7" s="22">
        <v>1</v>
      </c>
      <c r="B7" s="23" t="str">
        <f>VLOOKUP(A7,قرارداد!A:O,15,0)</f>
        <v>علی حسینی</v>
      </c>
      <c r="C7" s="24">
        <v>30</v>
      </c>
      <c r="D7" s="30">
        <f>((VLOOKUP(A7,قرارداد!A:E,5,0))/30)*C7</f>
        <v>45829500</v>
      </c>
      <c r="E7" s="30">
        <f>(VLOOKUP(A7,قرارداد!A:H,8,0))/30*IF(C7&gt;30,30,C7)</f>
        <v>0</v>
      </c>
      <c r="F7" s="30">
        <f>(VLOOKUP(A7,قرارداد!A:P,16,0))/30*IF(C7&gt;30,30,C7)</f>
        <v>15000000</v>
      </c>
      <c r="G7" s="30">
        <f>(VLOOKUP(A7,قرارداد!A:I,9,0))/30*C7+VLOOKUP(A7,قرارداد!A:J,10,0)</f>
        <v>0</v>
      </c>
      <c r="H7" s="31">
        <v>0</v>
      </c>
      <c r="I7" s="32">
        <v>1</v>
      </c>
      <c r="J7" s="33">
        <f>((VLOOKUP(A7,قرارداد!A:E,5,0)/30/7.33)+(VLOOKUP(A7,قرارداد!A:E,5,0)/30/7.33)*40/100)*(I7+(H7/60))</f>
        <v>291774.89768076397</v>
      </c>
      <c r="K7" s="42">
        <f>D7+E7+F7+G7+J7</f>
        <v>61121274.897680767</v>
      </c>
      <c r="L7" s="30">
        <f>IFERROR(IF((D7/C7*30)&lt;292582500,(D7+F7+G7+J7)*7%,(9752750*C7)*7%),0)</f>
        <v>4278489.2428376544</v>
      </c>
      <c r="M7" s="30">
        <f>VLOOKUP(A7,'جدول مالیات'!A:K,11,0)</f>
        <v>389884.83997271513</v>
      </c>
      <c r="N7" s="34"/>
      <c r="O7" s="34"/>
      <c r="P7" s="31">
        <v>0</v>
      </c>
      <c r="Q7" s="32">
        <v>1</v>
      </c>
      <c r="R7" s="35">
        <f>((VLOOKUP(A7,قرارداد!A:E,5,0)/30/7.33)+(VLOOKUP(A7,قرارداد!A:E,5,0)/30/7.33)*40/100)*(Q7+(P7/60))</f>
        <v>291774.89768076397</v>
      </c>
      <c r="S7" s="34"/>
      <c r="T7" s="35">
        <f>L7+M7+N7+O7+R7+S7</f>
        <v>4960148.9804911334</v>
      </c>
      <c r="U7" s="36">
        <f>-(K7-T7-V7)</f>
        <v>-125.9171896353364</v>
      </c>
      <c r="V7" s="35">
        <f>ROUND(K7-T7,-3)</f>
        <v>56161000</v>
      </c>
      <c r="W7" s="30">
        <f>IFERROR(IF((D7/C7*30)&lt;292582500,(D7+F7+G7+J7),(9752750*C7)),0)</f>
        <v>61121274.897680767</v>
      </c>
    </row>
    <row r="8" spans="1:23" ht="24.6" customHeight="1" x14ac:dyDescent="0.25">
      <c r="A8" s="22">
        <v>2</v>
      </c>
      <c r="B8" s="23" t="str">
        <f>VLOOKUP(A8,قرارداد!A:O,15,0)</f>
        <v>احمد تابان</v>
      </c>
      <c r="C8" s="24">
        <v>30</v>
      </c>
      <c r="D8" s="30">
        <f>((VLOOKUP(A8,قرارداد!A:E,5,0))/30)*C8</f>
        <v>41797550</v>
      </c>
      <c r="E8" s="30">
        <f>(VLOOKUP(A8,قرارداد!A:H,8,0))/30*IF(C8&gt;30,30,C8)</f>
        <v>0</v>
      </c>
      <c r="F8" s="30">
        <f>(VLOOKUP(A8,قرارداد!A:P,16,0))/30*IF(C8&gt;30,30,C8)</f>
        <v>15000000</v>
      </c>
      <c r="G8" s="30">
        <f>(VLOOKUP(A8,قرارداد!A:I,9,0))/30*C8+VLOOKUP(A8,قرارداد!A:J,10,0)</f>
        <v>0</v>
      </c>
      <c r="H8" s="31">
        <v>0</v>
      </c>
      <c r="I8" s="32">
        <v>1</v>
      </c>
      <c r="J8" s="33">
        <f>((VLOOKUP(A8,قرارداد!A:E,5,0)/30/7.33)+(VLOOKUP(A8,قرارداد!A:E,5,0)/30/7.33)*40/100)*(I8+(H8/60))</f>
        <v>266105.36607548886</v>
      </c>
      <c r="K8" s="42">
        <f t="shared" ref="K8:K16" si="0">D8+E8+F8+G8+J8</f>
        <v>57063655.366075486</v>
      </c>
      <c r="L8" s="30">
        <f t="shared" ref="L8:L16" si="1">IFERROR(IF((D8/C8*30)&lt;292582500,(D8+F8+G8+J8)*7%,(9752750*C8)*7%),0)</f>
        <v>3994455.8756252844</v>
      </c>
      <c r="M8" s="30">
        <f>VLOOKUP(A8,'جدول مالیات'!A:K,11,0)</f>
        <v>0</v>
      </c>
      <c r="N8" s="34"/>
      <c r="O8" s="34"/>
      <c r="P8" s="31">
        <v>0</v>
      </c>
      <c r="Q8" s="32">
        <v>1</v>
      </c>
      <c r="R8" s="35">
        <f>((VLOOKUP(A8,قرارداد!A:E,5,0)/30/7.33)+(VLOOKUP(A8,قرارداد!A:E,5,0)/30/7.33)*40/100)*(Q8+(P8/60))</f>
        <v>266105.36607548886</v>
      </c>
      <c r="S8" s="34"/>
      <c r="T8" s="35">
        <f t="shared" ref="T8:T16" si="2">L8+M8+N8+O8+R8+S8</f>
        <v>4260561.2417007731</v>
      </c>
      <c r="U8" s="36">
        <f t="shared" ref="U8:U16" si="3">-(K8-T8-V8)</f>
        <v>-94.124374710023403</v>
      </c>
      <c r="V8" s="35">
        <f t="shared" ref="V8:V16" si="4">ROUND(K8-T8,-3)</f>
        <v>52803000</v>
      </c>
      <c r="W8" s="30">
        <f t="shared" ref="W8:W16" si="5">IFERROR(IF((D8/C8*30)&lt;292582500,(D8+F8+G8+J8),(9752750*C8)),0)</f>
        <v>57063655.366075486</v>
      </c>
    </row>
    <row r="9" spans="1:23" ht="24.6" customHeight="1" x14ac:dyDescent="0.25">
      <c r="A9" s="22">
        <v>3</v>
      </c>
      <c r="B9" s="23" t="str">
        <f>VLOOKUP(A9,قرارداد!A:O,15,0)</f>
        <v>مریم  صدر</v>
      </c>
      <c r="C9" s="24">
        <v>15</v>
      </c>
      <c r="D9" s="30">
        <f>((VLOOKUP(A9,قرارداد!A:E,5,0))/30)*C9</f>
        <v>20898775</v>
      </c>
      <c r="E9" s="30">
        <f>(VLOOKUP(A9,قرارداد!A:H,8,0))/30*IF(C9&gt;30,30,C9)</f>
        <v>0</v>
      </c>
      <c r="F9" s="30">
        <f>(VLOOKUP(A9,قرارداد!A:P,16,0))/30*IF(C9&gt;30,30,C9)</f>
        <v>7500000</v>
      </c>
      <c r="G9" s="30">
        <f>(VLOOKUP(A9,قرارداد!A:I,9,0))/30*C9+VLOOKUP(A9,قرارداد!A:J,10,0)</f>
        <v>0</v>
      </c>
      <c r="H9" s="31">
        <v>0</v>
      </c>
      <c r="I9" s="32">
        <v>1</v>
      </c>
      <c r="J9" s="33">
        <f>((VLOOKUP(A9,قرارداد!A:E,5,0)/30/7.33)+(VLOOKUP(A9,قرارداد!A:E,5,0)/30/7.33)*40/100)*(I9+(H9/60))</f>
        <v>266105.36607548886</v>
      </c>
      <c r="K9" s="42">
        <f t="shared" si="0"/>
        <v>28664880.36607549</v>
      </c>
      <c r="L9" s="30">
        <f t="shared" si="1"/>
        <v>2006541.6256252844</v>
      </c>
      <c r="M9" s="30">
        <f>VLOOKUP(A9,'جدول مالیات'!A:K,11,0)</f>
        <v>0</v>
      </c>
      <c r="N9" s="34">
        <v>1000000</v>
      </c>
      <c r="O9" s="34"/>
      <c r="P9" s="31"/>
      <c r="Q9" s="32">
        <v>5</v>
      </c>
      <c r="R9" s="35">
        <f>((VLOOKUP(A9,قرارداد!A:E,5,0)/30/7.33)+(VLOOKUP(A9,قرارداد!A:E,5,0)/30/7.33)*40/100)*(Q9+(P9/60))</f>
        <v>1330526.8303774442</v>
      </c>
      <c r="S9" s="34"/>
      <c r="T9" s="35">
        <f t="shared" si="2"/>
        <v>4337068.456002729</v>
      </c>
      <c r="U9" s="36">
        <f t="shared" si="3"/>
        <v>188.08992724120617</v>
      </c>
      <c r="V9" s="35">
        <f t="shared" si="4"/>
        <v>24328000</v>
      </c>
      <c r="W9" s="30">
        <f t="shared" si="5"/>
        <v>28664880.36607549</v>
      </c>
    </row>
    <row r="10" spans="1:23" ht="24.6" customHeight="1" x14ac:dyDescent="0.25">
      <c r="A10" s="22">
        <v>4</v>
      </c>
      <c r="B10" s="23" t="str">
        <f>VLOOKUP(A10,قرارداد!A:O,15,0)</f>
        <v>مسعود کمانی</v>
      </c>
      <c r="C10" s="24">
        <v>30</v>
      </c>
      <c r="D10" s="30">
        <f>((VLOOKUP(A10,قرارداد!A:E,5,0))/30)*C10</f>
        <v>41797550</v>
      </c>
      <c r="E10" s="30">
        <f>(VLOOKUP(A10,قرارداد!A:H,8,0))/30*IF(C10&gt;30,30,C10)</f>
        <v>0</v>
      </c>
      <c r="F10" s="30">
        <f>(VLOOKUP(A10,قرارداد!A:P,16,0))/30*IF(C10&gt;30,30,C10)</f>
        <v>15000000</v>
      </c>
      <c r="G10" s="30">
        <f>(VLOOKUP(A10,قرارداد!A:I,9,0))/30*C10+VLOOKUP(A10,قرارداد!A:J,10,0)</f>
        <v>0</v>
      </c>
      <c r="H10" s="31">
        <v>0</v>
      </c>
      <c r="I10" s="32">
        <v>0</v>
      </c>
      <c r="J10" s="33">
        <f>((VLOOKUP(A10,قرارداد!A:E,5,0)/30/7.33)+(VLOOKUP(A10,قرارداد!A:E,5,0)/30/7.33)*40/100)*(I10+(H10/60))</f>
        <v>0</v>
      </c>
      <c r="K10" s="42">
        <f t="shared" si="0"/>
        <v>56797550</v>
      </c>
      <c r="L10" s="30">
        <f t="shared" si="1"/>
        <v>3975828.5000000005</v>
      </c>
      <c r="M10" s="30">
        <f>VLOOKUP(A10,'جدول مالیات'!A:K,11,0)</f>
        <v>0</v>
      </c>
      <c r="N10" s="34"/>
      <c r="O10" s="34"/>
      <c r="P10" s="31"/>
      <c r="Q10" s="32"/>
      <c r="R10" s="35">
        <f>((VLOOKUP(A10,قرارداد!A:E,5,0)/30/7.33)+(VLOOKUP(A10,قرارداد!A:E,5,0)/30/7.33)*40/100)*(Q10+(P10/60))</f>
        <v>0</v>
      </c>
      <c r="S10" s="34"/>
      <c r="T10" s="35">
        <f t="shared" si="2"/>
        <v>3975828.5000000005</v>
      </c>
      <c r="U10" s="36">
        <f t="shared" si="3"/>
        <v>278.5</v>
      </c>
      <c r="V10" s="35">
        <f t="shared" si="4"/>
        <v>52822000</v>
      </c>
      <c r="W10" s="30">
        <f t="shared" si="5"/>
        <v>56797550</v>
      </c>
    </row>
    <row r="11" spans="1:23" ht="24.6" customHeight="1" x14ac:dyDescent="0.25">
      <c r="A11" s="22">
        <v>5</v>
      </c>
      <c r="B11" s="23" t="str">
        <f>VLOOKUP(A11,قرارداد!A:O,15,0)</f>
        <v>کاوه بابا احمدی</v>
      </c>
      <c r="C11" s="24">
        <v>15</v>
      </c>
      <c r="D11" s="30">
        <f>((VLOOKUP(A11,قرارداد!A:E,5,0))/30)*C11</f>
        <v>20898775</v>
      </c>
      <c r="E11" s="30">
        <f>(VLOOKUP(A11,قرارداد!A:H,8,0))/30*IF(C11&gt;30,30,C11)</f>
        <v>0</v>
      </c>
      <c r="F11" s="30">
        <f>(VLOOKUP(A11,قرارداد!A:P,16,0))/30*IF(C11&gt;30,30,C11)</f>
        <v>7500000</v>
      </c>
      <c r="G11" s="30">
        <f>(VLOOKUP(A11,قرارداد!A:I,9,0))/30*C11+VLOOKUP(A11,قرارداد!A:J,10,0)</f>
        <v>0</v>
      </c>
      <c r="H11" s="31">
        <v>0</v>
      </c>
      <c r="I11" s="32">
        <v>0</v>
      </c>
      <c r="J11" s="33">
        <f>((VLOOKUP(A11,قرارداد!A:E,5,0)/30/7.33)+(VLOOKUP(A11,قرارداد!A:E,5,0)/30/7.33)*40/100)*(I11+(H11/60))</f>
        <v>0</v>
      </c>
      <c r="K11" s="42">
        <f t="shared" si="0"/>
        <v>28398775</v>
      </c>
      <c r="L11" s="30">
        <f t="shared" si="1"/>
        <v>1987914.2500000002</v>
      </c>
      <c r="M11" s="30">
        <f>VLOOKUP(A11,'جدول مالیات'!A:K,11,0)</f>
        <v>0</v>
      </c>
      <c r="N11" s="34"/>
      <c r="O11" s="34"/>
      <c r="P11" s="31">
        <v>0</v>
      </c>
      <c r="Q11" s="32">
        <v>0</v>
      </c>
      <c r="R11" s="35">
        <f>((VLOOKUP(A11,قرارداد!A:E,5,0)/30/7.33)+(VLOOKUP(A11,قرارداد!A:E,5,0)/30/7.33)*40/100)*(Q11+(P11/60))</f>
        <v>0</v>
      </c>
      <c r="S11" s="34"/>
      <c r="T11" s="35">
        <f t="shared" si="2"/>
        <v>1987914.2500000002</v>
      </c>
      <c r="U11" s="36">
        <f t="shared" si="3"/>
        <v>139.25</v>
      </c>
      <c r="V11" s="35">
        <f t="shared" si="4"/>
        <v>26411000</v>
      </c>
      <c r="W11" s="30">
        <f t="shared" si="5"/>
        <v>28398775</v>
      </c>
    </row>
    <row r="12" spans="1:23" ht="24.6" customHeight="1" x14ac:dyDescent="0.25">
      <c r="A12" s="22">
        <v>6</v>
      </c>
      <c r="B12" s="23" t="str">
        <f>VLOOKUP(A12,قرارداد!A:O,15,0)</f>
        <v xml:space="preserve"> </v>
      </c>
      <c r="C12" s="24">
        <v>0</v>
      </c>
      <c r="D12" s="30">
        <f>((VLOOKUP(A12,قرارداد!A:E,5,0))/30)*C12</f>
        <v>0</v>
      </c>
      <c r="E12" s="30">
        <f>(VLOOKUP(A12,قرارداد!A:H,8,0))/30*IF(C12&gt;30,30,C12)</f>
        <v>0</v>
      </c>
      <c r="F12" s="30">
        <f>(VLOOKUP(A12,قرارداد!A:P,16,0))/30*IF(C12&gt;30,30,C12)</f>
        <v>0</v>
      </c>
      <c r="G12" s="30">
        <f>(VLOOKUP(A12,قرارداد!A:I,9,0))/30*C12+VLOOKUP(A12,قرارداد!A:J,10,0)</f>
        <v>0</v>
      </c>
      <c r="H12" s="31"/>
      <c r="I12" s="32"/>
      <c r="J12" s="33">
        <f>((VLOOKUP(A12,قرارداد!A:E,5,0)/30/7.33)+(VLOOKUP(A12,قرارداد!A:E,5,0)/30/7.33)*40/100)*(I12+(H12/60))</f>
        <v>0</v>
      </c>
      <c r="K12" s="42">
        <f t="shared" si="0"/>
        <v>0</v>
      </c>
      <c r="L12" s="30">
        <f t="shared" si="1"/>
        <v>0</v>
      </c>
      <c r="M12" s="30">
        <f>VLOOKUP(A12,'جدول مالیات'!A:K,11,0)</f>
        <v>0</v>
      </c>
      <c r="N12" s="34"/>
      <c r="O12" s="34"/>
      <c r="P12" s="31"/>
      <c r="Q12" s="32"/>
      <c r="R12" s="35">
        <f>((VLOOKUP(A12,قرارداد!A:E,5,0)/30/7.33)+(VLOOKUP(A12,قرارداد!A:E,5,0)/30/7.33)*40/100)*(Q12+(P12/60))</f>
        <v>0</v>
      </c>
      <c r="S12" s="34"/>
      <c r="T12" s="35">
        <f t="shared" si="2"/>
        <v>0</v>
      </c>
      <c r="U12" s="36">
        <f t="shared" si="3"/>
        <v>0</v>
      </c>
      <c r="V12" s="35">
        <f t="shared" si="4"/>
        <v>0</v>
      </c>
      <c r="W12" s="30">
        <f t="shared" si="5"/>
        <v>0</v>
      </c>
    </row>
    <row r="13" spans="1:23" ht="24.6" customHeight="1" x14ac:dyDescent="0.25">
      <c r="A13" s="22">
        <v>7</v>
      </c>
      <c r="B13" s="23" t="str">
        <f>VLOOKUP(A13,قرارداد!A:O,15,0)</f>
        <v xml:space="preserve"> </v>
      </c>
      <c r="C13" s="24"/>
      <c r="D13" s="30">
        <f>((VLOOKUP(A13,قرارداد!A:E,5,0))/30)*C13</f>
        <v>0</v>
      </c>
      <c r="E13" s="30">
        <f>(VLOOKUP(A13,قرارداد!A:H,8,0))/30*IF(C13&gt;30,30,C13)</f>
        <v>0</v>
      </c>
      <c r="F13" s="30">
        <f>(VLOOKUP(A13,قرارداد!A:P,16,0))/30*IF(C13&gt;30,30,C13)</f>
        <v>0</v>
      </c>
      <c r="G13" s="30">
        <f>(VLOOKUP(A13,قرارداد!A:I,9,0))/30*C13+VLOOKUP(A13,قرارداد!A:J,10,0)</f>
        <v>0</v>
      </c>
      <c r="H13" s="31"/>
      <c r="I13" s="32"/>
      <c r="J13" s="33">
        <f>((VLOOKUP(A13,قرارداد!A:E,5,0)/30/7.33)+(VLOOKUP(A13,قرارداد!A:E,5,0)/30/7.33)*40/100)*(I13+(H13/60))</f>
        <v>0</v>
      </c>
      <c r="K13" s="42">
        <f t="shared" si="0"/>
        <v>0</v>
      </c>
      <c r="L13" s="30">
        <f t="shared" si="1"/>
        <v>0</v>
      </c>
      <c r="M13" s="30">
        <f>VLOOKUP(A13,'جدول مالیات'!A:K,11,0)</f>
        <v>0</v>
      </c>
      <c r="N13" s="34"/>
      <c r="O13" s="34"/>
      <c r="P13" s="31"/>
      <c r="Q13" s="32"/>
      <c r="R13" s="35">
        <f>((VLOOKUP(A13,قرارداد!A:E,5,0)/30/7.33)+(VLOOKUP(A13,قرارداد!A:E,5,0)/30/7.33)*40/100)*(Q13+(P13/60))</f>
        <v>0</v>
      </c>
      <c r="S13" s="34"/>
      <c r="T13" s="35">
        <f t="shared" si="2"/>
        <v>0</v>
      </c>
      <c r="U13" s="36">
        <f t="shared" si="3"/>
        <v>0</v>
      </c>
      <c r="V13" s="35">
        <f t="shared" si="4"/>
        <v>0</v>
      </c>
      <c r="W13" s="30">
        <f t="shared" si="5"/>
        <v>0</v>
      </c>
    </row>
    <row r="14" spans="1:23" ht="24.6" customHeight="1" x14ac:dyDescent="0.25">
      <c r="A14" s="22">
        <v>8</v>
      </c>
      <c r="B14" s="23" t="str">
        <f>VLOOKUP(A14,قرارداد!A:O,15,0)</f>
        <v xml:space="preserve"> </v>
      </c>
      <c r="C14" s="24">
        <v>0</v>
      </c>
      <c r="D14" s="30">
        <f>((VLOOKUP(A14,قرارداد!A:E,5,0))/30)*C14</f>
        <v>0</v>
      </c>
      <c r="E14" s="30">
        <f>(VLOOKUP(A14,قرارداد!A:H,8,0))/30*IF(C14&gt;30,30,C14)</f>
        <v>0</v>
      </c>
      <c r="F14" s="30">
        <f>(VLOOKUP(A14,قرارداد!A:P,16,0))/30*IF(C14&gt;30,30,C14)</f>
        <v>0</v>
      </c>
      <c r="G14" s="30">
        <f>(VLOOKUP(A14,قرارداد!A:I,9,0))/30*C14+VLOOKUP(A14,قرارداد!A:J,10,0)</f>
        <v>0</v>
      </c>
      <c r="H14" s="31"/>
      <c r="I14" s="32"/>
      <c r="J14" s="33">
        <f>((VLOOKUP(A14,قرارداد!A:E,5,0)/30/7.33)+(VLOOKUP(A14,قرارداد!A:E,5,0)/30/7.33)*40/100)*(I14+(H14/60))</f>
        <v>0</v>
      </c>
      <c r="K14" s="42">
        <f t="shared" si="0"/>
        <v>0</v>
      </c>
      <c r="L14" s="30">
        <f t="shared" si="1"/>
        <v>0</v>
      </c>
      <c r="M14" s="30">
        <f>VLOOKUP(A14,'جدول مالیات'!A:K,11,0)</f>
        <v>0</v>
      </c>
      <c r="N14" s="34"/>
      <c r="O14" s="34"/>
      <c r="P14" s="31"/>
      <c r="Q14" s="32"/>
      <c r="R14" s="35">
        <f>((VLOOKUP(A14,قرارداد!A:E,5,0)/30/7.33)+(VLOOKUP(A14,قرارداد!A:E,5,0)/30/7.33)*40/100)*(Q14+(P14/60))</f>
        <v>0</v>
      </c>
      <c r="S14" s="34"/>
      <c r="T14" s="35">
        <f t="shared" si="2"/>
        <v>0</v>
      </c>
      <c r="U14" s="36">
        <f t="shared" si="3"/>
        <v>0</v>
      </c>
      <c r="V14" s="35">
        <f t="shared" si="4"/>
        <v>0</v>
      </c>
      <c r="W14" s="30">
        <f t="shared" si="5"/>
        <v>0</v>
      </c>
    </row>
    <row r="15" spans="1:23" ht="24.6" customHeight="1" x14ac:dyDescent="0.25">
      <c r="A15" s="22">
        <v>9</v>
      </c>
      <c r="B15" s="23" t="str">
        <f>VLOOKUP(A15,قرارداد!A:O,15,0)</f>
        <v xml:space="preserve"> </v>
      </c>
      <c r="C15" s="24">
        <v>0</v>
      </c>
      <c r="D15" s="30">
        <f>((VLOOKUP(A15,قرارداد!A:E,5,0))/30)*C15</f>
        <v>0</v>
      </c>
      <c r="E15" s="30">
        <f>(VLOOKUP(A15,قرارداد!A:H,8,0))/30*IF(C15&gt;30,30,C15)</f>
        <v>0</v>
      </c>
      <c r="F15" s="30">
        <f>(VLOOKUP(A15,قرارداد!A:P,16,0))/30*IF(C15&gt;30,30,C15)</f>
        <v>0</v>
      </c>
      <c r="G15" s="30">
        <f>(VLOOKUP(A15,قرارداد!A:I,9,0))/30*C15+VLOOKUP(A15,قرارداد!A:J,10,0)</f>
        <v>0</v>
      </c>
      <c r="H15" s="31"/>
      <c r="I15" s="32"/>
      <c r="J15" s="33">
        <f>((VLOOKUP(A15,قرارداد!A:E,5,0)/30/7.33)+(VLOOKUP(A15,قرارداد!A:E,5,0)/30/7.33)*40/100)*(I15+(H15/60))</f>
        <v>0</v>
      </c>
      <c r="K15" s="42">
        <f t="shared" si="0"/>
        <v>0</v>
      </c>
      <c r="L15" s="30">
        <f t="shared" si="1"/>
        <v>0</v>
      </c>
      <c r="M15" s="30">
        <f>VLOOKUP(A15,'جدول مالیات'!A:K,11,0)</f>
        <v>0</v>
      </c>
      <c r="N15" s="34"/>
      <c r="O15" s="34"/>
      <c r="P15" s="31"/>
      <c r="Q15" s="32"/>
      <c r="R15" s="35">
        <f>((VLOOKUP(A15,قرارداد!A:E,5,0)/30/7.33)+(VLOOKUP(A15,قرارداد!A:E,5,0)/30/7.33)*40/100)*(Q15+(P15/60))</f>
        <v>0</v>
      </c>
      <c r="S15" s="34"/>
      <c r="T15" s="35">
        <f t="shared" si="2"/>
        <v>0</v>
      </c>
      <c r="U15" s="36">
        <f t="shared" si="3"/>
        <v>0</v>
      </c>
      <c r="V15" s="35">
        <f t="shared" si="4"/>
        <v>0</v>
      </c>
      <c r="W15" s="30">
        <f t="shared" si="5"/>
        <v>0</v>
      </c>
    </row>
    <row r="16" spans="1:23" ht="24.6" customHeight="1" x14ac:dyDescent="0.25">
      <c r="A16" s="22">
        <v>10</v>
      </c>
      <c r="B16" s="23" t="str">
        <f>VLOOKUP(A16,قرارداد!A:O,15,0)</f>
        <v xml:space="preserve"> </v>
      </c>
      <c r="C16" s="24">
        <v>0</v>
      </c>
      <c r="D16" s="30">
        <f>((VLOOKUP(A16,قرارداد!A:E,5,0))/30)*C16</f>
        <v>0</v>
      </c>
      <c r="E16" s="30">
        <f>(VLOOKUP(A16,قرارداد!A:H,8,0))/30*IF(C16&gt;30,30,C16)</f>
        <v>0</v>
      </c>
      <c r="F16" s="30">
        <f>(VLOOKUP(A16,قرارداد!A:P,16,0))/30*IF(C16&gt;30,30,C16)</f>
        <v>0</v>
      </c>
      <c r="G16" s="30">
        <f>(VLOOKUP(A16,قرارداد!A:I,9,0))/30*C16+VLOOKUP(A16,قرارداد!A:J,10,0)</f>
        <v>0</v>
      </c>
      <c r="H16" s="31"/>
      <c r="I16" s="32"/>
      <c r="J16" s="33">
        <f>((VLOOKUP(A16,قرارداد!A:E,5,0)/30/7.33)+(VLOOKUP(A16,قرارداد!A:E,5,0)/30/7.33)*40/100)*(I16+(H16/60))</f>
        <v>0</v>
      </c>
      <c r="K16" s="42">
        <f t="shared" si="0"/>
        <v>0</v>
      </c>
      <c r="L16" s="30">
        <f t="shared" si="1"/>
        <v>0</v>
      </c>
      <c r="M16" s="30">
        <f>VLOOKUP(A16,'جدول مالیات'!A:K,11,0)</f>
        <v>0</v>
      </c>
      <c r="N16" s="34"/>
      <c r="O16" s="34"/>
      <c r="P16" s="31"/>
      <c r="Q16" s="32"/>
      <c r="R16" s="35">
        <f>((VLOOKUP(A16,قرارداد!A:E,5,0)/30/7.33)+(VLOOKUP(A16,قرارداد!A:E,5,0)/30/7.33)*40/100)*(Q16+(P16/60))</f>
        <v>0</v>
      </c>
      <c r="S16" s="34"/>
      <c r="T16" s="35">
        <f t="shared" si="2"/>
        <v>0</v>
      </c>
      <c r="U16" s="36">
        <f t="shared" si="3"/>
        <v>0</v>
      </c>
      <c r="V16" s="35">
        <f t="shared" si="4"/>
        <v>0</v>
      </c>
      <c r="W16" s="30">
        <f t="shared" si="5"/>
        <v>0</v>
      </c>
    </row>
    <row r="17" spans="1:23" s="26" customFormat="1" ht="24.6" customHeight="1" thickBot="1" x14ac:dyDescent="0.3">
      <c r="A17" s="113" t="s">
        <v>39</v>
      </c>
      <c r="B17" s="113"/>
      <c r="C17" s="25">
        <f>SUM(C7:C16)</f>
        <v>120</v>
      </c>
      <c r="D17" s="37">
        <f>SUM(D7:D16)</f>
        <v>171222150</v>
      </c>
      <c r="E17" s="37">
        <f t="shared" ref="E17:V17" si="6">SUM(E7:E16)</f>
        <v>0</v>
      </c>
      <c r="F17" s="37">
        <f t="shared" si="6"/>
        <v>60000000</v>
      </c>
      <c r="G17" s="37">
        <f t="shared" si="6"/>
        <v>0</v>
      </c>
      <c r="H17" s="37">
        <f t="shared" si="6"/>
        <v>0</v>
      </c>
      <c r="I17" s="37">
        <f>SUM(I7:I16)</f>
        <v>3</v>
      </c>
      <c r="J17" s="37">
        <f>SUM(J7:J16)</f>
        <v>823985.62983174168</v>
      </c>
      <c r="K17" s="37">
        <f>SUM(K7:K16)</f>
        <v>232046135.62983173</v>
      </c>
      <c r="L17" s="37">
        <f t="shared" si="6"/>
        <v>16243229.494088223</v>
      </c>
      <c r="M17" s="37">
        <f>SUM(M7:M16)</f>
        <v>389884.83997271513</v>
      </c>
      <c r="N17" s="37">
        <f t="shared" si="6"/>
        <v>1000000</v>
      </c>
      <c r="O17" s="37">
        <f t="shared" si="6"/>
        <v>0</v>
      </c>
      <c r="P17" s="38">
        <f>SUM(P7:P16)</f>
        <v>0</v>
      </c>
      <c r="Q17" s="37">
        <f>SUM(Q7:Q16)</f>
        <v>7</v>
      </c>
      <c r="R17" s="37">
        <f t="shared" si="6"/>
        <v>1888407.094133697</v>
      </c>
      <c r="S17" s="37">
        <f>SUM(S7:S16)</f>
        <v>0</v>
      </c>
      <c r="T17" s="37">
        <f t="shared" si="6"/>
        <v>19521521.428194638</v>
      </c>
      <c r="U17" s="39">
        <f t="shared" si="6"/>
        <v>385.79836289584637</v>
      </c>
      <c r="V17" s="37">
        <f t="shared" si="6"/>
        <v>212525000</v>
      </c>
      <c r="W17" s="37">
        <f>SUM(W7:W16)</f>
        <v>232046135.62983173</v>
      </c>
    </row>
    <row r="18" spans="1:23" ht="22.15" customHeight="1" thickTop="1" x14ac:dyDescent="0.25">
      <c r="K18" s="27" t="s">
        <v>41</v>
      </c>
      <c r="L18" s="28">
        <f>W17*20%</f>
        <v>46409227.125966348</v>
      </c>
      <c r="M18" s="28"/>
    </row>
    <row r="19" spans="1:23" ht="22.15" customHeight="1" x14ac:dyDescent="0.25">
      <c r="K19" s="27" t="s">
        <v>42</v>
      </c>
      <c r="L19" s="28">
        <f>W17*3%</f>
        <v>6961384.0688949516</v>
      </c>
      <c r="M19" s="28"/>
    </row>
    <row r="20" spans="1:23" ht="22.15" customHeight="1" thickBot="1" x14ac:dyDescent="0.3">
      <c r="G20" s="111" t="s">
        <v>66</v>
      </c>
      <c r="H20" s="111"/>
      <c r="I20" s="111"/>
      <c r="J20" s="28">
        <f>L18+L19+K17</f>
        <v>285416746.82469302</v>
      </c>
      <c r="K20" s="20" t="s">
        <v>43</v>
      </c>
      <c r="L20" s="41">
        <f>L17+L18+L19</f>
        <v>69613840.688949525</v>
      </c>
    </row>
    <row r="21" spans="1:23" ht="20.25" thickTop="1" x14ac:dyDescent="0.25"/>
  </sheetData>
  <sheetProtection algorithmName="SHA-512" hashValue="QcY/a4mgVN94XMBuoOY4Bc0NwnhpX2FtyUJERP2tZ9n3tRaIOvUnf8ncxVXUt53WzeFDXXxa268AJIjzFH8NFw==" saltValue="uR4N86j7t93c3VSvu0xFLA==" spinCount="100000" sheet="1" objects="1" scenarios="1"/>
  <mergeCells count="31">
    <mergeCell ref="W4:W6"/>
    <mergeCell ref="G20:I20"/>
    <mergeCell ref="A1:V1"/>
    <mergeCell ref="T2:V2"/>
    <mergeCell ref="A2:S2"/>
    <mergeCell ref="A17:B17"/>
    <mergeCell ref="J3:M3"/>
    <mergeCell ref="H3:I3"/>
    <mergeCell ref="D3:G3"/>
    <mergeCell ref="N3:Q3"/>
    <mergeCell ref="A3:B3"/>
    <mergeCell ref="S5:S6"/>
    <mergeCell ref="T4:T6"/>
    <mergeCell ref="U4:U6"/>
    <mergeCell ref="V4:V6"/>
    <mergeCell ref="L4:S4"/>
    <mergeCell ref="A4:A6"/>
    <mergeCell ref="B4:B6"/>
    <mergeCell ref="C4:C6"/>
    <mergeCell ref="H5:J5"/>
    <mergeCell ref="P5:R5"/>
    <mergeCell ref="M5:M6"/>
    <mergeCell ref="N5:N6"/>
    <mergeCell ref="O5:O6"/>
    <mergeCell ref="K4:K6"/>
    <mergeCell ref="L5:L6"/>
    <mergeCell ref="D4:J4"/>
    <mergeCell ref="G5:G6"/>
    <mergeCell ref="D5:D6"/>
    <mergeCell ref="E5:E6"/>
    <mergeCell ref="F5:F6"/>
  </mergeCells>
  <pageMargins left="0.22" right="0.26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5"/>
  <sheetViews>
    <sheetView showGridLines="0" rightToLeft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3.85546875" style="1" bestFit="1" customWidth="1"/>
    <col min="2" max="2" width="14.7109375" style="1" bestFit="1" customWidth="1"/>
    <col min="3" max="4" width="15.140625" style="1" customWidth="1"/>
    <col min="5" max="5" width="15.140625" style="2" customWidth="1"/>
    <col min="6" max="11" width="15.140625" style="1" customWidth="1"/>
    <col min="12" max="16384" width="9.140625" style="1"/>
  </cols>
  <sheetData>
    <row r="1" spans="1:11" ht="33" customHeight="1" x14ac:dyDescent="0.25">
      <c r="A1" s="130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28.5" customHeight="1" x14ac:dyDescent="0.25">
      <c r="A2" s="135" t="s">
        <v>33</v>
      </c>
      <c r="B2" s="133" t="s">
        <v>40</v>
      </c>
      <c r="C2" s="133" t="s">
        <v>22</v>
      </c>
      <c r="D2" s="137" t="s">
        <v>68</v>
      </c>
      <c r="E2" s="68" t="s">
        <v>37</v>
      </c>
      <c r="F2" s="69">
        <v>0</v>
      </c>
      <c r="G2" s="69">
        <v>56000001</v>
      </c>
      <c r="H2" s="69">
        <v>150000001</v>
      </c>
      <c r="I2" s="69">
        <v>250000001</v>
      </c>
      <c r="J2" s="69">
        <v>350000001</v>
      </c>
      <c r="K2" s="127" t="s">
        <v>39</v>
      </c>
    </row>
    <row r="3" spans="1:11" ht="28.5" customHeight="1" x14ac:dyDescent="0.25">
      <c r="A3" s="135"/>
      <c r="B3" s="133"/>
      <c r="C3" s="133"/>
      <c r="D3" s="137"/>
      <c r="E3" s="68" t="s">
        <v>38</v>
      </c>
      <c r="F3" s="69">
        <v>56000000</v>
      </c>
      <c r="G3" s="69">
        <v>150000000</v>
      </c>
      <c r="H3" s="69">
        <v>250000000</v>
      </c>
      <c r="I3" s="69">
        <v>350000000</v>
      </c>
      <c r="J3" s="69">
        <v>500000000</v>
      </c>
      <c r="K3" s="128"/>
    </row>
    <row r="4" spans="1:11" ht="28.5" customHeight="1" thickBot="1" x14ac:dyDescent="0.3">
      <c r="A4" s="136"/>
      <c r="B4" s="134"/>
      <c r="C4" s="134"/>
      <c r="D4" s="138"/>
      <c r="E4" s="70" t="s">
        <v>70</v>
      </c>
      <c r="F4" s="71">
        <v>0</v>
      </c>
      <c r="G4" s="72">
        <v>0.1</v>
      </c>
      <c r="H4" s="72">
        <v>0.15</v>
      </c>
      <c r="I4" s="72">
        <v>0.2</v>
      </c>
      <c r="J4" s="72">
        <v>0.3</v>
      </c>
      <c r="K4" s="129"/>
    </row>
    <row r="5" spans="1:11" ht="24" customHeight="1" x14ac:dyDescent="0.25">
      <c r="A5" s="66">
        <v>1</v>
      </c>
      <c r="B5" s="54" t="str">
        <f>VLOOKUP(A5,'لیست حقوق'!A4:B16,2,0)</f>
        <v>علی حسینی</v>
      </c>
      <c r="C5" s="55">
        <f>VLOOKUP(A5,'لیست حقوق'!A7:K16,11,0)</f>
        <v>61121274.897680767</v>
      </c>
      <c r="D5" s="55">
        <f>(VLOOKUP(A5,'لیست حقوق'!A:V,12,0)*2)/7</f>
        <v>1222425.4979536156</v>
      </c>
      <c r="E5" s="55">
        <f>C5-D5</f>
        <v>59898849.399727151</v>
      </c>
      <c r="F5" s="55">
        <f>(IF($E5&gt;F$3,F$3,$E5-F$2))*F$4</f>
        <v>0</v>
      </c>
      <c r="G5" s="55">
        <f t="shared" ref="G5:I14" si="0">IF((IF($E5&gt;G$3,G$3,$E5-G$2))*G$4&gt;0,(IF($E5&gt;G$3,G$3-F$3,$E5-G$2))*G$4,0)</f>
        <v>389884.83997271513</v>
      </c>
      <c r="H5" s="55">
        <f t="shared" si="0"/>
        <v>0</v>
      </c>
      <c r="I5" s="55">
        <f t="shared" si="0"/>
        <v>0</v>
      </c>
      <c r="J5" s="55">
        <f>IF($E5&gt;J$2,$E5-J$2,0)*J$4</f>
        <v>0</v>
      </c>
      <c r="K5" s="67">
        <f>SUM(F5:J5)</f>
        <v>389884.83997271513</v>
      </c>
    </row>
    <row r="6" spans="1:11" ht="24" customHeight="1" x14ac:dyDescent="0.25">
      <c r="A6" s="56">
        <v>2</v>
      </c>
      <c r="B6" s="51" t="str">
        <f>VLOOKUP(A6,'لیست حقوق'!A5:B17,2,0)</f>
        <v>احمد تابان</v>
      </c>
      <c r="C6" s="52">
        <f>VLOOKUP(A6,'لیست حقوق'!A8:K17,11,0)</f>
        <v>57063655.366075486</v>
      </c>
      <c r="D6" s="53">
        <f>(VLOOKUP(A6,'لیست حقوق'!A:V,12,0)*2)/7</f>
        <v>1141273.1073215099</v>
      </c>
      <c r="E6" s="53">
        <f t="shared" ref="E6:E14" si="1">C6-D6</f>
        <v>55922382.258753978</v>
      </c>
      <c r="F6" s="52">
        <f>(IF($E6&gt;F$3,F$3,$E6-F$2))*F$4</f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ref="J6:J14" si="2">IF($E6&gt;J$2,$E6-J$2,0)*J$4</f>
        <v>0</v>
      </c>
      <c r="K6" s="57">
        <f t="shared" ref="K6:K14" si="3">SUM(F6:J6)</f>
        <v>0</v>
      </c>
    </row>
    <row r="7" spans="1:11" ht="24" customHeight="1" x14ac:dyDescent="0.25">
      <c r="A7" s="58">
        <v>3</v>
      </c>
      <c r="B7" s="49" t="str">
        <f>VLOOKUP(A7,'لیست حقوق'!A6:B18,2,0)</f>
        <v>مریم  صدر</v>
      </c>
      <c r="C7" s="50">
        <f>VLOOKUP(A7,'لیست حقوق'!A9:K18,11,0)</f>
        <v>28664880.36607549</v>
      </c>
      <c r="D7" s="50">
        <f>(VLOOKUP(A7,'لیست حقوق'!A:V,12,0)*2)/7</f>
        <v>573297.60732150986</v>
      </c>
      <c r="E7" s="50">
        <f t="shared" si="1"/>
        <v>28091582.758753981</v>
      </c>
      <c r="F7" s="50">
        <f t="shared" ref="F7:F14" si="4">(IF($E7&gt;F$3,F$3,$E7-F$2))*F$4</f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2"/>
        <v>0</v>
      </c>
      <c r="K7" s="59">
        <f t="shared" si="3"/>
        <v>0</v>
      </c>
    </row>
    <row r="8" spans="1:11" ht="24" customHeight="1" x14ac:dyDescent="0.25">
      <c r="A8" s="56">
        <v>4</v>
      </c>
      <c r="B8" s="51" t="str">
        <f>VLOOKUP(A8,'لیست حقوق'!A7:B19,2,0)</f>
        <v>مسعود کمانی</v>
      </c>
      <c r="C8" s="52">
        <f>VLOOKUP(A8,'لیست حقوق'!A10:K19,11,0)</f>
        <v>56797550</v>
      </c>
      <c r="D8" s="53">
        <f>(VLOOKUP(A8,'لیست حقوق'!A:V,12,0)*2)/7</f>
        <v>1135951.0000000002</v>
      </c>
      <c r="E8" s="53">
        <f t="shared" si="1"/>
        <v>55661599</v>
      </c>
      <c r="F8" s="52">
        <f t="shared" si="4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2"/>
        <v>0</v>
      </c>
      <c r="K8" s="57">
        <f t="shared" si="3"/>
        <v>0</v>
      </c>
    </row>
    <row r="9" spans="1:11" ht="24" customHeight="1" x14ac:dyDescent="0.25">
      <c r="A9" s="58">
        <v>5</v>
      </c>
      <c r="B9" s="49" t="str">
        <f>VLOOKUP(A9,'لیست حقوق'!A8:B20,2,0)</f>
        <v>کاوه بابا احمدی</v>
      </c>
      <c r="C9" s="50">
        <f>VLOOKUP(A9,'لیست حقوق'!A11:K20,11,0)</f>
        <v>28398775</v>
      </c>
      <c r="D9" s="50">
        <f>(VLOOKUP(A9,'لیست حقوق'!A:V,12,0)*2)/7</f>
        <v>567975.50000000012</v>
      </c>
      <c r="E9" s="50">
        <f t="shared" si="1"/>
        <v>27830799.5</v>
      </c>
      <c r="F9" s="50">
        <f t="shared" si="4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2"/>
        <v>0</v>
      </c>
      <c r="K9" s="59">
        <f t="shared" si="3"/>
        <v>0</v>
      </c>
    </row>
    <row r="10" spans="1:11" ht="24" customHeight="1" x14ac:dyDescent="0.25">
      <c r="A10" s="56">
        <v>6</v>
      </c>
      <c r="B10" s="51" t="str">
        <f>VLOOKUP(A10,'لیست حقوق'!A9:B21,2,0)</f>
        <v xml:space="preserve"> </v>
      </c>
      <c r="C10" s="52">
        <f>VLOOKUP(A10,'لیست حقوق'!A12:K21,11,0)</f>
        <v>0</v>
      </c>
      <c r="D10" s="53">
        <f>(VLOOKUP(A10,'لیست حقوق'!A:V,12,0)*2)/7</f>
        <v>0</v>
      </c>
      <c r="E10" s="53">
        <f t="shared" si="1"/>
        <v>0</v>
      </c>
      <c r="F10" s="52">
        <f t="shared" si="4"/>
        <v>0</v>
      </c>
      <c r="G10" s="52">
        <f t="shared" si="0"/>
        <v>0</v>
      </c>
      <c r="H10" s="52">
        <f t="shared" si="0"/>
        <v>0</v>
      </c>
      <c r="I10" s="52">
        <f t="shared" si="0"/>
        <v>0</v>
      </c>
      <c r="J10" s="52">
        <f t="shared" si="2"/>
        <v>0</v>
      </c>
      <c r="K10" s="57">
        <f t="shared" si="3"/>
        <v>0</v>
      </c>
    </row>
    <row r="11" spans="1:11" ht="24" customHeight="1" x14ac:dyDescent="0.25">
      <c r="A11" s="58">
        <v>7</v>
      </c>
      <c r="B11" s="49" t="str">
        <f>VLOOKUP(A11,'لیست حقوق'!A10:B22,2,0)</f>
        <v xml:space="preserve"> </v>
      </c>
      <c r="C11" s="50">
        <f>VLOOKUP(A11,'لیست حقوق'!A13:K22,11,0)</f>
        <v>0</v>
      </c>
      <c r="D11" s="50">
        <f>(VLOOKUP(A11,'لیست حقوق'!A:V,12,0)*2)/7</f>
        <v>0</v>
      </c>
      <c r="E11" s="50">
        <f t="shared" si="1"/>
        <v>0</v>
      </c>
      <c r="F11" s="50">
        <f t="shared" si="4"/>
        <v>0</v>
      </c>
      <c r="G11" s="50">
        <f t="shared" si="0"/>
        <v>0</v>
      </c>
      <c r="H11" s="50">
        <f t="shared" si="0"/>
        <v>0</v>
      </c>
      <c r="I11" s="50">
        <f t="shared" si="0"/>
        <v>0</v>
      </c>
      <c r="J11" s="50">
        <f t="shared" si="2"/>
        <v>0</v>
      </c>
      <c r="K11" s="59">
        <f t="shared" si="3"/>
        <v>0</v>
      </c>
    </row>
    <row r="12" spans="1:11" ht="24" customHeight="1" x14ac:dyDescent="0.25">
      <c r="A12" s="56">
        <v>8</v>
      </c>
      <c r="B12" s="51" t="str">
        <f>VLOOKUP(A12,'لیست حقوق'!A11:B23,2,0)</f>
        <v xml:space="preserve"> </v>
      </c>
      <c r="C12" s="52">
        <f>VLOOKUP(A12,'لیست حقوق'!A14:K23,11,0)</f>
        <v>0</v>
      </c>
      <c r="D12" s="53">
        <f>(VLOOKUP(A12,'لیست حقوق'!A:V,12,0)*2)/7</f>
        <v>0</v>
      </c>
      <c r="E12" s="53">
        <f t="shared" si="1"/>
        <v>0</v>
      </c>
      <c r="F12" s="52">
        <f t="shared" si="4"/>
        <v>0</v>
      </c>
      <c r="G12" s="52">
        <f t="shared" si="0"/>
        <v>0</v>
      </c>
      <c r="H12" s="52">
        <f t="shared" si="0"/>
        <v>0</v>
      </c>
      <c r="I12" s="52">
        <f t="shared" si="0"/>
        <v>0</v>
      </c>
      <c r="J12" s="52">
        <f t="shared" si="2"/>
        <v>0</v>
      </c>
      <c r="K12" s="57">
        <f t="shared" si="3"/>
        <v>0</v>
      </c>
    </row>
    <row r="13" spans="1:11" ht="24" customHeight="1" x14ac:dyDescent="0.25">
      <c r="A13" s="58">
        <v>9</v>
      </c>
      <c r="B13" s="49" t="str">
        <f>VLOOKUP(A13,'لیست حقوق'!A12:B24,2,0)</f>
        <v xml:space="preserve"> </v>
      </c>
      <c r="C13" s="50">
        <f>VLOOKUP(A13,'لیست حقوق'!A15:K24,11,0)</f>
        <v>0</v>
      </c>
      <c r="D13" s="50">
        <f>(VLOOKUP(A13,'لیست حقوق'!A:V,12,0)*2)/7</f>
        <v>0</v>
      </c>
      <c r="E13" s="50">
        <f t="shared" si="1"/>
        <v>0</v>
      </c>
      <c r="F13" s="50">
        <f t="shared" si="4"/>
        <v>0</v>
      </c>
      <c r="G13" s="50">
        <f t="shared" si="0"/>
        <v>0</v>
      </c>
      <c r="H13" s="50">
        <f t="shared" si="0"/>
        <v>0</v>
      </c>
      <c r="I13" s="50">
        <f t="shared" si="0"/>
        <v>0</v>
      </c>
      <c r="J13" s="50">
        <f t="shared" si="2"/>
        <v>0</v>
      </c>
      <c r="K13" s="59">
        <f t="shared" si="3"/>
        <v>0</v>
      </c>
    </row>
    <row r="14" spans="1:11" ht="24" customHeight="1" thickBot="1" x14ac:dyDescent="0.3">
      <c r="A14" s="60">
        <v>10</v>
      </c>
      <c r="B14" s="61" t="str">
        <f>VLOOKUP(A14,'لیست حقوق'!A13:B25,2,0)</f>
        <v xml:space="preserve"> </v>
      </c>
      <c r="C14" s="62">
        <f>VLOOKUP(A14,'لیست حقوق'!A16:K25,11,0)</f>
        <v>0</v>
      </c>
      <c r="D14" s="63">
        <f>(VLOOKUP(A14,'لیست حقوق'!A:V,12,0)*2)/7</f>
        <v>0</v>
      </c>
      <c r="E14" s="63">
        <f t="shared" si="1"/>
        <v>0</v>
      </c>
      <c r="F14" s="62">
        <f t="shared" si="4"/>
        <v>0</v>
      </c>
      <c r="G14" s="62">
        <f t="shared" si="0"/>
        <v>0</v>
      </c>
      <c r="H14" s="62">
        <f t="shared" si="0"/>
        <v>0</v>
      </c>
      <c r="I14" s="62">
        <f t="shared" si="0"/>
        <v>0</v>
      </c>
      <c r="J14" s="62">
        <f t="shared" si="2"/>
        <v>0</v>
      </c>
      <c r="K14" s="64">
        <f t="shared" si="3"/>
        <v>0</v>
      </c>
    </row>
    <row r="15" spans="1:11" ht="24" customHeight="1" thickBot="1" x14ac:dyDescent="0.3">
      <c r="A15" s="125" t="s">
        <v>69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65">
        <f>SUM(K5:K14)</f>
        <v>389884.83997271513</v>
      </c>
    </row>
  </sheetData>
  <sheetProtection algorithmName="SHA-512" hashValue="eAHJaLeOGnWkZ7Xp5YhLiFATmL2qVZ8kYKONqG3AH56vu33W0Xs4sXo9AuyakVE7/dtLr8LuubaMUB8fxJ0FDQ==" saltValue="ZQkSWGFN0oyy2BpFrIfgzQ==" spinCount="100000" sheet="1" objects="1" scenarios="1"/>
  <mergeCells count="7">
    <mergeCell ref="A15:J15"/>
    <mergeCell ref="K2:K4"/>
    <mergeCell ref="A1:K1"/>
    <mergeCell ref="B2:B4"/>
    <mergeCell ref="A2:A4"/>
    <mergeCell ref="C2:C4"/>
    <mergeCell ref="D2:D4"/>
  </mergeCells>
  <pageMargins left="0.55000000000000004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3"/>
  <sheetViews>
    <sheetView rightToLeft="1" view="pageBreakPreview" topLeftCell="A2" zoomScaleNormal="100" zoomScaleSheetLayoutView="100" workbookViewId="0">
      <selection activeCell="B4" sqref="B4:C4"/>
    </sheetView>
  </sheetViews>
  <sheetFormatPr defaultColWidth="8.85546875" defaultRowHeight="22.9" customHeight="1" x14ac:dyDescent="0.25"/>
  <cols>
    <col min="1" max="1" width="2.7109375" style="73" customWidth="1"/>
    <col min="2" max="3" width="11.140625" style="73" customWidth="1"/>
    <col min="4" max="4" width="20" style="73" customWidth="1"/>
    <col min="5" max="5" width="17.85546875" style="73" customWidth="1"/>
    <col min="6" max="6" width="20" style="73" customWidth="1"/>
    <col min="7" max="7" width="17.85546875" style="73" customWidth="1"/>
    <col min="8" max="8" width="14.140625" style="73" customWidth="1"/>
    <col min="9" max="16384" width="8.85546875" style="73"/>
  </cols>
  <sheetData>
    <row r="1" spans="2:7" ht="46.5" customHeight="1" x14ac:dyDescent="0.25">
      <c r="B1" s="139" t="str">
        <f>CONCATENATE("فیش حقوقی پرسنل "," ",'لیست حقوق'!A1)</f>
        <v>فیش حقوقی پرسنل  رسانه آموزش لیموناد - limoonad.com</v>
      </c>
      <c r="C1" s="140"/>
      <c r="D1" s="140"/>
      <c r="E1" s="140"/>
      <c r="F1" s="140"/>
      <c r="G1" s="141"/>
    </row>
    <row r="2" spans="2:7" ht="25.5" customHeight="1" x14ac:dyDescent="0.25">
      <c r="B2" s="85"/>
      <c r="C2" s="75"/>
      <c r="D2" s="75"/>
      <c r="E2" s="75"/>
      <c r="F2" s="86" t="s">
        <v>73</v>
      </c>
      <c r="G2" s="87" t="str">
        <f>CONCATENATE( 'لیست حقوق'!T3," ",'لیست حقوق'!U3," ",'لیست حقوق'!V3)</f>
        <v>فروردین سال 1401</v>
      </c>
    </row>
    <row r="3" spans="2:7" ht="45" customHeight="1" thickBot="1" x14ac:dyDescent="0.3">
      <c r="B3" s="77" t="s">
        <v>32</v>
      </c>
      <c r="C3" s="78">
        <v>3</v>
      </c>
      <c r="D3" s="79" t="s">
        <v>34</v>
      </c>
      <c r="E3" s="80" t="str">
        <f>VLOOKUP(C3,'لیست حقوق'!A4:B16,2,0)</f>
        <v>مریم  صدر</v>
      </c>
      <c r="F3" s="79" t="s">
        <v>2</v>
      </c>
      <c r="G3" s="81">
        <f>VLOOKUP(C3,قرارداد!A2:D12,4,0)</f>
        <v>0</v>
      </c>
    </row>
    <row r="4" spans="2:7" ht="44.25" customHeight="1" x14ac:dyDescent="0.25">
      <c r="B4" s="146" t="s">
        <v>50</v>
      </c>
      <c r="C4" s="147"/>
      <c r="D4" s="146" t="s">
        <v>71</v>
      </c>
      <c r="E4" s="147"/>
      <c r="F4" s="146" t="s">
        <v>72</v>
      </c>
      <c r="G4" s="147"/>
    </row>
    <row r="5" spans="2:7" ht="22.9" customHeight="1" x14ac:dyDescent="0.25">
      <c r="B5" s="82" t="s">
        <v>53</v>
      </c>
      <c r="C5" s="95">
        <f>VLOOKUP('فیش حقوقی'!C3,'لیست حقوق'!A7:C16,3,0)</f>
        <v>15</v>
      </c>
      <c r="D5" s="82" t="s">
        <v>46</v>
      </c>
      <c r="E5" s="88">
        <f>VLOOKUP(C3,'لیست حقوق'!A7:U16,4,0)</f>
        <v>20898775</v>
      </c>
      <c r="F5" s="82" t="s">
        <v>48</v>
      </c>
      <c r="G5" s="88">
        <f>VLOOKUP(C3,'لیست حقوق'!A7:U16,12,0)</f>
        <v>2006541.6256252844</v>
      </c>
    </row>
    <row r="6" spans="2:7" ht="22.9" customHeight="1" x14ac:dyDescent="0.25">
      <c r="B6" s="82"/>
      <c r="C6" s="96"/>
      <c r="D6" s="82" t="s">
        <v>6</v>
      </c>
      <c r="E6" s="89">
        <f>VLOOKUP(C3,'لیست حقوق'!A7:U16,5,0)</f>
        <v>0</v>
      </c>
      <c r="F6" s="82" t="s">
        <v>49</v>
      </c>
      <c r="G6" s="89">
        <f>VLOOKUP(C3,'لیست حقوق'!A7:U16,13,0)</f>
        <v>0</v>
      </c>
    </row>
    <row r="7" spans="2:7" ht="22.9" customHeight="1" x14ac:dyDescent="0.25">
      <c r="B7" s="82" t="s">
        <v>11</v>
      </c>
      <c r="C7" s="96" t="str">
        <f>CONCATENATE(VLOOKUP(C3,'لیست حقوق'!A7:I16,9,0),":",+VLOOKUP(C3,'لیست حقوق'!A7:I16,8,0))</f>
        <v>1:0</v>
      </c>
      <c r="D7" s="82" t="s">
        <v>14</v>
      </c>
      <c r="E7" s="89">
        <f>VLOOKUP(C3,'لیست حقوق'!A7:U16,6,0)</f>
        <v>7500000</v>
      </c>
      <c r="F7" s="82" t="s">
        <v>20</v>
      </c>
      <c r="G7" s="89">
        <f>VLOOKUP(C3,'لیست حقوق'!A7:U16,14,0)</f>
        <v>1000000</v>
      </c>
    </row>
    <row r="8" spans="2:7" ht="22.9" customHeight="1" x14ac:dyDescent="0.25">
      <c r="B8" s="82"/>
      <c r="C8" s="96"/>
      <c r="D8" s="82" t="s">
        <v>15</v>
      </c>
      <c r="E8" s="89">
        <f>VLOOKUP(C3,'لیست حقوق'!A7:U16,7,0)</f>
        <v>0</v>
      </c>
      <c r="F8" s="82" t="s">
        <v>21</v>
      </c>
      <c r="G8" s="89">
        <f>VLOOKUP(C3,'لیست حقوق'!A7:U16,15,0)</f>
        <v>0</v>
      </c>
    </row>
    <row r="9" spans="2:7" ht="22.9" customHeight="1" x14ac:dyDescent="0.25">
      <c r="B9" s="82" t="s">
        <v>23</v>
      </c>
      <c r="C9" s="96" t="str">
        <f>CONCATENATE(VLOOKUP(C3,'لیست حقوق'!A7:Q16,17,0),":",+VLOOKUP(C3,'لیست حقوق'!A7:Q16,16,0))</f>
        <v>5:</v>
      </c>
      <c r="D9" s="82" t="s">
        <v>47</v>
      </c>
      <c r="E9" s="89">
        <f>VLOOKUP(C3,'لیست حقوق'!A7:U16,10,0)</f>
        <v>266105.36607548886</v>
      </c>
      <c r="F9" s="82" t="s">
        <v>23</v>
      </c>
      <c r="G9" s="89">
        <f>VLOOKUP(C3,'لیست حقوق'!A7:U16,18,0)</f>
        <v>1330526.8303774442</v>
      </c>
    </row>
    <row r="10" spans="2:7" ht="22.9" customHeight="1" thickBot="1" x14ac:dyDescent="0.3">
      <c r="B10" s="84"/>
      <c r="C10" s="97"/>
      <c r="D10" s="84"/>
      <c r="E10" s="90"/>
      <c r="F10" s="77" t="s">
        <v>24</v>
      </c>
      <c r="G10" s="90">
        <f>VLOOKUP(C3,'لیست حقوق'!A7:U16,19,0)</f>
        <v>0</v>
      </c>
    </row>
    <row r="11" spans="2:7" ht="22.9" customHeight="1" thickBot="1" x14ac:dyDescent="0.3">
      <c r="B11" s="150" t="s">
        <v>39</v>
      </c>
      <c r="C11" s="151"/>
      <c r="D11" s="92"/>
      <c r="E11" s="91">
        <f>SUM(E5:E10)</f>
        <v>28664880.36607549</v>
      </c>
      <c r="F11" s="74"/>
      <c r="G11" s="93">
        <f>SUM(G5:G10)</f>
        <v>4337068.456002729</v>
      </c>
    </row>
    <row r="12" spans="2:7" s="76" customFormat="1" ht="17.25" customHeight="1" x14ac:dyDescent="0.25">
      <c r="B12" s="143" t="s">
        <v>26</v>
      </c>
      <c r="C12" s="144"/>
      <c r="D12" s="144"/>
      <c r="E12" s="145">
        <f>VLOOKUP(C3,'لیست حقوق'!A7:U16,21,0)</f>
        <v>188.08992724120617</v>
      </c>
      <c r="F12" s="145"/>
      <c r="G12" s="94"/>
    </row>
    <row r="13" spans="2:7" ht="22.9" customHeight="1" thickBot="1" x14ac:dyDescent="0.3">
      <c r="B13" s="148" t="s">
        <v>51</v>
      </c>
      <c r="C13" s="149"/>
      <c r="D13" s="149"/>
      <c r="E13" s="142">
        <f>E11-G11+E12</f>
        <v>24328000</v>
      </c>
      <c r="F13" s="142"/>
      <c r="G13" s="83" t="s">
        <v>52</v>
      </c>
    </row>
  </sheetData>
  <sheetProtection algorithmName="SHA-512" hashValue="2ye0rv9ahAqJT5gRm5qJ1XaDwgDFup1g/DUs14GSAnYiYDWp3HtwzkYTxJx8iig1itYcwCLoq9dvrHx16c43Yg==" saltValue="gR4ajF/5N6cTdU7gouVB6Q==" spinCount="100000" sheet="1" objects="1" scenarios="1"/>
  <mergeCells count="9">
    <mergeCell ref="B1:G1"/>
    <mergeCell ref="E13:F13"/>
    <mergeCell ref="B12:D12"/>
    <mergeCell ref="E12:F12"/>
    <mergeCell ref="D4:E4"/>
    <mergeCell ref="F4:G4"/>
    <mergeCell ref="B4:C4"/>
    <mergeCell ref="B13:D13"/>
    <mergeCell ref="B11:C11"/>
  </mergeCells>
  <pageMargins left="0.36" right="0.22" top="0.61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 T a b l e 1 - f 6 c c f 1 1 7 - 0 3 3 6 - 4 e 1 7 - b 2 8 b - 7 7 1 1 0 c b c 0 d 5 1 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T a b l e 1 - f 6 c c f 1 1 7 - 0 3 3 6 - 4 e 1 7 - b 2 8 b - 7 7 1 1 0 c b c 0 d 5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9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a b l e 1 - f 6 c c f 1 1 7 - 0 3 3 6 - 4 e 1 7 - b 2 8 b - 7 7 1 1 0 c b c 0 d 5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 2 0 2 1 - 0 1 - 2 5 T 1 7 : 2 9 : 1 5 . 3 2 1 6 1 9 2 + 0 3 : 3 0 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e 1 - f 6 c c f 1 1 7 - 0 3 3 6 - 4 e 1 7 - b 2 8 b - 7 7 1 1 0 c b c 0 d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 1 1 2 < / i n t > < / v a l u e > < / i t e m > < / C o l u m n W i d t h s > < C o l u m n D i s p l a y I n d e x > < i t e m > < k e y > < s t r i n g > C o l u m n 1 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 T a b l e 1 - f 6 c c f 1 1 7 - 0 3 3 6 - 4 e 1 7 - b 2 8 b - 7 7 1 1 0 c b c 0 d 5 1 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82B9D559-0062-43CB-B798-BCC02B47304D}">
  <ds:schemaRefs/>
</ds:datastoreItem>
</file>

<file path=customXml/itemProps10.xml><?xml version="1.0" encoding="utf-8"?>
<ds:datastoreItem xmlns:ds="http://schemas.openxmlformats.org/officeDocument/2006/customXml" ds:itemID="{01BED3E5-7884-4879-ADA0-FA4085D48937}">
  <ds:schemaRefs/>
</ds:datastoreItem>
</file>

<file path=customXml/itemProps11.xml><?xml version="1.0" encoding="utf-8"?>
<ds:datastoreItem xmlns:ds="http://schemas.openxmlformats.org/officeDocument/2006/customXml" ds:itemID="{54D35166-2F54-41F1-AEAB-7502272D053B}">
  <ds:schemaRefs/>
</ds:datastoreItem>
</file>

<file path=customXml/itemProps12.xml><?xml version="1.0" encoding="utf-8"?>
<ds:datastoreItem xmlns:ds="http://schemas.openxmlformats.org/officeDocument/2006/customXml" ds:itemID="{AD05B22F-F34F-42A3-9563-985529ADDA60}">
  <ds:schemaRefs/>
</ds:datastoreItem>
</file>

<file path=customXml/itemProps13.xml><?xml version="1.0" encoding="utf-8"?>
<ds:datastoreItem xmlns:ds="http://schemas.openxmlformats.org/officeDocument/2006/customXml" ds:itemID="{04C0B4D4-1AD3-40BF-9CB6-C99162A7A6E5}">
  <ds:schemaRefs/>
</ds:datastoreItem>
</file>

<file path=customXml/itemProps14.xml><?xml version="1.0" encoding="utf-8"?>
<ds:datastoreItem xmlns:ds="http://schemas.openxmlformats.org/officeDocument/2006/customXml" ds:itemID="{419E0FF0-0987-4E8A-B7F4-0CB42BFF0341}">
  <ds:schemaRefs/>
</ds:datastoreItem>
</file>

<file path=customXml/itemProps15.xml><?xml version="1.0" encoding="utf-8"?>
<ds:datastoreItem xmlns:ds="http://schemas.openxmlformats.org/officeDocument/2006/customXml" ds:itemID="{3D3EA7BA-C4CF-421D-A68B-7AC7F4CB84B1}">
  <ds:schemaRefs/>
</ds:datastoreItem>
</file>

<file path=customXml/itemProps16.xml><?xml version="1.0" encoding="utf-8"?>
<ds:datastoreItem xmlns:ds="http://schemas.openxmlformats.org/officeDocument/2006/customXml" ds:itemID="{A7D6EE6E-8E2D-4D6A-BF02-47039F86026D}">
  <ds:schemaRefs/>
</ds:datastoreItem>
</file>

<file path=customXml/itemProps2.xml><?xml version="1.0" encoding="utf-8"?>
<ds:datastoreItem xmlns:ds="http://schemas.openxmlformats.org/officeDocument/2006/customXml" ds:itemID="{5E21DC56-7AA5-4EC5-AE0E-55BCCE671329}">
  <ds:schemaRefs/>
</ds:datastoreItem>
</file>

<file path=customXml/itemProps3.xml><?xml version="1.0" encoding="utf-8"?>
<ds:datastoreItem xmlns:ds="http://schemas.openxmlformats.org/officeDocument/2006/customXml" ds:itemID="{343C348E-7D19-42B6-A6A0-5635A62A599D}">
  <ds:schemaRefs/>
</ds:datastoreItem>
</file>

<file path=customXml/itemProps4.xml><?xml version="1.0" encoding="utf-8"?>
<ds:datastoreItem xmlns:ds="http://schemas.openxmlformats.org/officeDocument/2006/customXml" ds:itemID="{99D0A5E3-857F-47A2-8E79-39244BF49CBD}">
  <ds:schemaRefs/>
</ds:datastoreItem>
</file>

<file path=customXml/itemProps5.xml><?xml version="1.0" encoding="utf-8"?>
<ds:datastoreItem xmlns:ds="http://schemas.openxmlformats.org/officeDocument/2006/customXml" ds:itemID="{1094CAF2-3DD9-430D-BDCB-0EE554D2008D}">
  <ds:schemaRefs/>
</ds:datastoreItem>
</file>

<file path=customXml/itemProps6.xml><?xml version="1.0" encoding="utf-8"?>
<ds:datastoreItem xmlns:ds="http://schemas.openxmlformats.org/officeDocument/2006/customXml" ds:itemID="{3FD01636-5540-4572-B592-81B75DC9E593}">
  <ds:schemaRefs/>
</ds:datastoreItem>
</file>

<file path=customXml/itemProps7.xml><?xml version="1.0" encoding="utf-8"?>
<ds:datastoreItem xmlns:ds="http://schemas.openxmlformats.org/officeDocument/2006/customXml" ds:itemID="{0481CC2A-C935-42AD-8C25-8AF4AD2113D7}">
  <ds:schemaRefs/>
</ds:datastoreItem>
</file>

<file path=customXml/itemProps8.xml><?xml version="1.0" encoding="utf-8"?>
<ds:datastoreItem xmlns:ds="http://schemas.openxmlformats.org/officeDocument/2006/customXml" ds:itemID="{6C29CBD5-73A1-45FA-9EA7-E0FCF2524583}">
  <ds:schemaRefs/>
</ds:datastoreItem>
</file>

<file path=customXml/itemProps9.xml><?xml version="1.0" encoding="utf-8"?>
<ds:datastoreItem xmlns:ds="http://schemas.openxmlformats.org/officeDocument/2006/customXml" ds:itemID="{588BC28E-5D3A-42D4-9187-28A90366E9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قرارداد</vt:lpstr>
      <vt:lpstr>لیست حقوق</vt:lpstr>
      <vt:lpstr>جدول مالیات</vt:lpstr>
      <vt:lpstr>فیش حقوقی</vt:lpstr>
      <vt:lpstr>'لیست حقوق'!Print_Area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limoonad.com</dc:title>
  <dc:subject>رسانه آموزشی لیموناد</dc:subject>
  <dc:creator/>
  <cp:keywords>اکسل حقوق و دستمزد 1400</cp:keywords>
  <cp:lastModifiedBy/>
  <dcterms:created xsi:type="dcterms:W3CDTF">2006-09-16T00:00:00Z</dcterms:created>
  <dcterms:modified xsi:type="dcterms:W3CDTF">2022-04-27T05:47:01Z</dcterms:modified>
  <cp:version>1400-01</cp:version>
</cp:coreProperties>
</file>