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codeName="ThisWorkbook" defaultThemeVersion="124226"/>
  <xr:revisionPtr revIDLastSave="0" documentId="13_ncr:1_{DC2546FF-2189-468D-8917-FD6C4B5FA33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قرارداد" sheetId="1" r:id="rId1"/>
    <sheet name="لیست حقوق" sheetId="2" r:id="rId2"/>
    <sheet name="جدول مالیات" sheetId="3" r:id="rId3"/>
    <sheet name="فیش حقوقی" sheetId="4" r:id="rId4"/>
  </sheets>
  <definedNames>
    <definedName name="_xlcn.LinkedTable_Table1" hidden="1">Table1</definedName>
    <definedName name="_xlnm.Print_Area" localSheetId="1">'لیست حقوق'!$A$1:$Z$20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-f6ccf117-0336-4e17-b28b-77110cbc0d51" name="Table1" connection="LinkedTable_Table1"/>
        </x15:modelTables>
      </x15:dataModel>
    </ext>
  </extLst>
</workbook>
</file>

<file path=xl/calcChain.xml><?xml version="1.0" encoding="utf-8"?>
<calcChain xmlns="http://schemas.openxmlformats.org/spreadsheetml/2006/main">
  <c r="C11" i="4" l="1"/>
  <c r="V8" i="2"/>
  <c r="V10" i="2"/>
  <c r="V11" i="2"/>
  <c r="V7" i="2"/>
  <c r="C9" i="4"/>
  <c r="G9" i="4"/>
  <c r="G7" i="4"/>
  <c r="C7" i="4"/>
  <c r="C17" i="2"/>
  <c r="K17" i="2"/>
  <c r="M17" i="2"/>
  <c r="N17" i="2"/>
  <c r="J8" i="2"/>
  <c r="J9" i="2"/>
  <c r="J10" i="2"/>
  <c r="J11" i="2"/>
  <c r="J12" i="2"/>
  <c r="J13" i="2"/>
  <c r="J14" i="2"/>
  <c r="J15" i="2"/>
  <c r="J16" i="2"/>
  <c r="J7" i="2"/>
  <c r="O19" i="1"/>
  <c r="I16" i="2" s="1"/>
  <c r="O18" i="1"/>
  <c r="I15" i="2" s="1"/>
  <c r="O17" i="1"/>
  <c r="I14" i="2" s="1"/>
  <c r="O16" i="1"/>
  <c r="I13" i="2" s="1"/>
  <c r="O15" i="1"/>
  <c r="I12" i="2" s="1"/>
  <c r="O14" i="1"/>
  <c r="I11" i="2" s="1"/>
  <c r="O13" i="1"/>
  <c r="I10" i="2" s="1"/>
  <c r="O12" i="1"/>
  <c r="I9" i="2" s="1"/>
  <c r="O11" i="1"/>
  <c r="I8" i="2" s="1"/>
  <c r="O10" i="1"/>
  <c r="I7" i="2" s="1"/>
  <c r="M11" i="1"/>
  <c r="G8" i="2" s="1"/>
  <c r="N19" i="1"/>
  <c r="H16" i="2" s="1"/>
  <c r="N18" i="1"/>
  <c r="H15" i="2" s="1"/>
  <c r="N17" i="1"/>
  <c r="H14" i="2" s="1"/>
  <c r="N16" i="1"/>
  <c r="H13" i="2" s="1"/>
  <c r="N15" i="1"/>
  <c r="H12" i="2" s="1"/>
  <c r="N14" i="1"/>
  <c r="H11" i="2" s="1"/>
  <c r="N13" i="1"/>
  <c r="H10" i="2" s="1"/>
  <c r="N12" i="1"/>
  <c r="H9" i="2" s="1"/>
  <c r="N11" i="1"/>
  <c r="H8" i="2" s="1"/>
  <c r="N10" i="1"/>
  <c r="H7" i="2" s="1"/>
  <c r="M19" i="1"/>
  <c r="G16" i="2" s="1"/>
  <c r="M18" i="1"/>
  <c r="G15" i="2" s="1"/>
  <c r="M17" i="1"/>
  <c r="G14" i="2" s="1"/>
  <c r="M16" i="1"/>
  <c r="G13" i="2" s="1"/>
  <c r="M15" i="1"/>
  <c r="G12" i="2" s="1"/>
  <c r="M14" i="1"/>
  <c r="G11" i="2" s="1"/>
  <c r="M13" i="1"/>
  <c r="G10" i="2" s="1"/>
  <c r="M12" i="1"/>
  <c r="G9" i="2" s="1"/>
  <c r="M10" i="1"/>
  <c r="G7" i="2" s="1"/>
  <c r="L19" i="1"/>
  <c r="F16" i="2" s="1"/>
  <c r="L18" i="1"/>
  <c r="F15" i="2" s="1"/>
  <c r="L17" i="1"/>
  <c r="F14" i="2" s="1"/>
  <c r="L16" i="1"/>
  <c r="F13" i="2" s="1"/>
  <c r="L15" i="1"/>
  <c r="F12" i="2" s="1"/>
  <c r="L14" i="1"/>
  <c r="F11" i="2" s="1"/>
  <c r="L13" i="1"/>
  <c r="F10" i="2" s="1"/>
  <c r="L12" i="1"/>
  <c r="F9" i="2" s="1"/>
  <c r="L11" i="1"/>
  <c r="F8" i="2" s="1"/>
  <c r="L10" i="1"/>
  <c r="F7" i="2" s="1"/>
  <c r="K19" i="1"/>
  <c r="E16" i="2" s="1"/>
  <c r="K18" i="1"/>
  <c r="E15" i="2" s="1"/>
  <c r="K17" i="1"/>
  <c r="E14" i="2" s="1"/>
  <c r="K16" i="1"/>
  <c r="E13" i="2" s="1"/>
  <c r="K15" i="1"/>
  <c r="E12" i="2" s="1"/>
  <c r="K10" i="1"/>
  <c r="E7" i="2" s="1"/>
  <c r="K14" i="1"/>
  <c r="E11" i="2" s="1"/>
  <c r="K13" i="1"/>
  <c r="E10" i="2" s="1"/>
  <c r="K12" i="1"/>
  <c r="E9" i="2" s="1"/>
  <c r="K11" i="1"/>
  <c r="E8" i="2" s="1"/>
  <c r="J11" i="1"/>
  <c r="L8" i="2" s="1"/>
  <c r="J12" i="1"/>
  <c r="O9" i="2" s="1"/>
  <c r="J13" i="1"/>
  <c r="O10" i="2" s="1"/>
  <c r="J14" i="1"/>
  <c r="L11" i="2" s="1"/>
  <c r="J15" i="1"/>
  <c r="L12" i="2" s="1"/>
  <c r="J16" i="1"/>
  <c r="O13" i="2" s="1"/>
  <c r="J17" i="1"/>
  <c r="O14" i="2" s="1"/>
  <c r="J18" i="1"/>
  <c r="L15" i="2" s="1"/>
  <c r="J19" i="1"/>
  <c r="L16" i="2" s="1"/>
  <c r="J10" i="1"/>
  <c r="O7" i="2" s="1"/>
  <c r="V13" i="2" l="1"/>
  <c r="V16" i="2"/>
  <c r="V15" i="2"/>
  <c r="V14" i="2"/>
  <c r="V12" i="2"/>
  <c r="E10" i="4"/>
  <c r="V9" i="2"/>
  <c r="E8" i="4"/>
  <c r="E7" i="4"/>
  <c r="E9" i="4"/>
  <c r="E6" i="4"/>
  <c r="D15" i="2"/>
  <c r="O16" i="2"/>
  <c r="D12" i="2"/>
  <c r="O12" i="2"/>
  <c r="D11" i="2"/>
  <c r="O8" i="2"/>
  <c r="D16" i="2"/>
  <c r="D8" i="2"/>
  <c r="L14" i="2"/>
  <c r="O15" i="2"/>
  <c r="O11" i="2"/>
  <c r="L7" i="2"/>
  <c r="L13" i="2"/>
  <c r="L9" i="2"/>
  <c r="L10" i="2"/>
  <c r="D14" i="2"/>
  <c r="D10" i="2"/>
  <c r="D7" i="2"/>
  <c r="D13" i="2"/>
  <c r="D9" i="2"/>
  <c r="F17" i="2"/>
  <c r="G17" i="2"/>
  <c r="H17" i="2"/>
  <c r="E17" i="2"/>
  <c r="J17" i="2"/>
  <c r="I17" i="2"/>
  <c r="E11" i="4" l="1"/>
  <c r="E12" i="4"/>
  <c r="P15" i="2"/>
  <c r="P12" i="2"/>
  <c r="P16" i="2"/>
  <c r="P11" i="2"/>
  <c r="P10" i="2"/>
  <c r="O17" i="2"/>
  <c r="P8" i="2"/>
  <c r="P13" i="2"/>
  <c r="D17" i="2"/>
  <c r="P9" i="2"/>
  <c r="P7" i="2"/>
  <c r="C5" i="3" s="1"/>
  <c r="P14" i="2"/>
  <c r="L17" i="2"/>
  <c r="AA16" i="2" l="1"/>
  <c r="Q16" i="2" s="1"/>
  <c r="D14" i="3" s="1"/>
  <c r="C14" i="3"/>
  <c r="AA15" i="2"/>
  <c r="Q15" i="2" s="1"/>
  <c r="D13" i="3" s="1"/>
  <c r="C13" i="3"/>
  <c r="AA14" i="2"/>
  <c r="Q14" i="2" s="1"/>
  <c r="D12" i="3" s="1"/>
  <c r="C12" i="3"/>
  <c r="AA13" i="2"/>
  <c r="Q13" i="2" s="1"/>
  <c r="C11" i="3"/>
  <c r="AA12" i="2"/>
  <c r="Q12" i="2" s="1"/>
  <c r="D10" i="3" s="1"/>
  <c r="C10" i="3"/>
  <c r="AA11" i="2"/>
  <c r="Q11" i="2" s="1"/>
  <c r="D9" i="3" s="1"/>
  <c r="C9" i="3"/>
  <c r="AA10" i="2"/>
  <c r="Q10" i="2" s="1"/>
  <c r="D8" i="3" s="1"/>
  <c r="C8" i="3"/>
  <c r="AA9" i="2"/>
  <c r="Q9" i="2" s="1"/>
  <c r="D7" i="3" s="1"/>
  <c r="C7" i="3"/>
  <c r="AA8" i="2"/>
  <c r="Q8" i="2" s="1"/>
  <c r="D6" i="3" s="1"/>
  <c r="C6" i="3"/>
  <c r="AA7" i="2"/>
  <c r="Q7" i="2" s="1"/>
  <c r="D5" i="3" s="1"/>
  <c r="D11" i="3" l="1"/>
  <c r="G5" i="4"/>
  <c r="G8" i="4" l="1"/>
  <c r="G2" i="4"/>
  <c r="C5" i="4" l="1"/>
  <c r="G3" i="4"/>
  <c r="B1" i="4"/>
  <c r="T17" i="2" l="1"/>
  <c r="U17" i="2"/>
  <c r="W17" i="2"/>
  <c r="S17" i="2"/>
  <c r="V17" i="2" l="1"/>
  <c r="S11" i="1" l="1"/>
  <c r="B8" i="2" s="1"/>
  <c r="T11" i="1"/>
  <c r="S12" i="1"/>
  <c r="B9" i="2" s="1"/>
  <c r="T12" i="1"/>
  <c r="S13" i="1"/>
  <c r="T13" i="1"/>
  <c r="S14" i="1"/>
  <c r="B11" i="2" s="1"/>
  <c r="T14" i="1"/>
  <c r="S15" i="1"/>
  <c r="T15" i="1"/>
  <c r="S16" i="1"/>
  <c r="B13" i="2" s="1"/>
  <c r="T16" i="1"/>
  <c r="S17" i="1"/>
  <c r="T17" i="1"/>
  <c r="S18" i="1"/>
  <c r="T18" i="1"/>
  <c r="S19" i="1"/>
  <c r="T19" i="1"/>
  <c r="T10" i="1"/>
  <c r="S10" i="1"/>
  <c r="B7" i="2" s="1"/>
  <c r="B15" i="2" l="1"/>
  <c r="B13" i="3" s="1"/>
  <c r="B16" i="2"/>
  <c r="B14" i="3" s="1"/>
  <c r="B14" i="2"/>
  <c r="B12" i="3" s="1"/>
  <c r="B12" i="2"/>
  <c r="B10" i="3" s="1"/>
  <c r="B10" i="2"/>
  <c r="B8" i="3" s="1"/>
  <c r="B11" i="3"/>
  <c r="B9" i="3"/>
  <c r="B7" i="3"/>
  <c r="B6" i="3"/>
  <c r="E5" i="4"/>
  <c r="B5" i="3"/>
  <c r="E13" i="3" l="1"/>
  <c r="J13" i="3" s="1"/>
  <c r="E9" i="3"/>
  <c r="J9" i="3" s="1"/>
  <c r="E7" i="3"/>
  <c r="J7" i="3" s="1"/>
  <c r="E12" i="3"/>
  <c r="J12" i="3" s="1"/>
  <c r="E14" i="3"/>
  <c r="J14" i="3" s="1"/>
  <c r="E6" i="3"/>
  <c r="J6" i="3" s="1"/>
  <c r="E3" i="4"/>
  <c r="E11" i="3"/>
  <c r="J11" i="3" s="1"/>
  <c r="E13" i="4" l="1"/>
  <c r="E8" i="3"/>
  <c r="J8" i="3" s="1"/>
  <c r="E10" i="3"/>
  <c r="E5" i="3"/>
  <c r="J5" i="3" s="1"/>
  <c r="AA17" i="2"/>
  <c r="Q19" i="2" s="1"/>
  <c r="Q17" i="2"/>
  <c r="P17" i="2"/>
  <c r="F14" i="3"/>
  <c r="I14" i="3"/>
  <c r="G14" i="3"/>
  <c r="H14" i="3"/>
  <c r="H13" i="3"/>
  <c r="H12" i="3"/>
  <c r="I13" i="3"/>
  <c r="G12" i="3"/>
  <c r="I12" i="3"/>
  <c r="G13" i="3"/>
  <c r="G11" i="3"/>
  <c r="I11" i="3"/>
  <c r="H11" i="3"/>
  <c r="G7" i="3"/>
  <c r="I7" i="3"/>
  <c r="H7" i="3"/>
  <c r="H6" i="3"/>
  <c r="I6" i="3"/>
  <c r="I9" i="3"/>
  <c r="H9" i="3"/>
  <c r="F6" i="3"/>
  <c r="G6" i="3"/>
  <c r="F9" i="3"/>
  <c r="G9" i="3"/>
  <c r="F12" i="3"/>
  <c r="F7" i="3"/>
  <c r="F13" i="3"/>
  <c r="F11" i="3"/>
  <c r="J10" i="3" l="1"/>
  <c r="F10" i="3"/>
  <c r="I10" i="3"/>
  <c r="H10" i="3"/>
  <c r="G10" i="3"/>
  <c r="H5" i="3"/>
  <c r="F5" i="3"/>
  <c r="I5" i="3"/>
  <c r="G5" i="3"/>
  <c r="Q18" i="2"/>
  <c r="O20" i="2" s="1"/>
  <c r="F8" i="3"/>
  <c r="H8" i="3"/>
  <c r="I8" i="3"/>
  <c r="G8" i="3"/>
  <c r="K7" i="3"/>
  <c r="R9" i="2" s="1"/>
  <c r="X9" i="2" s="1"/>
  <c r="K6" i="3"/>
  <c r="R8" i="2" s="1"/>
  <c r="X8" i="2" s="1"/>
  <c r="K9" i="3"/>
  <c r="R11" i="2" s="1"/>
  <c r="X11" i="2" s="1"/>
  <c r="K5" i="3" l="1"/>
  <c r="R7" i="2" s="1"/>
  <c r="Q20" i="2"/>
  <c r="K8" i="3"/>
  <c r="R10" i="2" s="1"/>
  <c r="X10" i="2" s="1"/>
  <c r="X7" i="2" l="1"/>
  <c r="K10" i="3"/>
  <c r="Z8" i="2"/>
  <c r="Y8" i="2" s="1"/>
  <c r="Z10" i="2"/>
  <c r="Y10" i="2" s="1"/>
  <c r="Z9" i="2"/>
  <c r="Y9" i="2" s="1"/>
  <c r="Z11" i="2"/>
  <c r="Y11" i="2" s="1"/>
  <c r="R12" i="2" l="1"/>
  <c r="X12" i="2" s="1"/>
  <c r="K11" i="3"/>
  <c r="R13" i="2" s="1"/>
  <c r="G6" i="4" s="1"/>
  <c r="G13" i="4" s="1"/>
  <c r="Z7" i="2"/>
  <c r="Y7" i="2" s="1"/>
  <c r="X13" i="2" l="1"/>
  <c r="Z13" i="2" s="1"/>
  <c r="Y13" i="2" s="1"/>
  <c r="E14" i="4" s="1"/>
  <c r="E15" i="4" s="1"/>
  <c r="K12" i="3"/>
  <c r="R14" i="2" s="1"/>
  <c r="X14" i="2" l="1"/>
  <c r="Z14" i="2" s="1"/>
  <c r="Y14" i="2" s="1"/>
  <c r="K13" i="3"/>
  <c r="R15" i="2" s="1"/>
  <c r="K14" i="3"/>
  <c r="R16" i="2" s="1"/>
  <c r="Z12" i="2"/>
  <c r="X15" i="2" l="1"/>
  <c r="Z15" i="2" s="1"/>
  <c r="X16" i="2"/>
  <c r="Z16" i="2" s="1"/>
  <c r="Y16" i="2" s="1"/>
  <c r="K15" i="3"/>
  <c r="R17" i="2"/>
  <c r="Y12" i="2"/>
  <c r="Y15" i="2" l="1"/>
  <c r="Y17" i="2" s="1"/>
  <c r="Z17" i="2"/>
  <c r="X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Table1" type="102" refreshedVersion="5" minRefreshableVersion="5">
    <extLst>
      <ext xmlns:x15="http://schemas.microsoft.com/office/spreadsheetml/2010/11/main" uri="{DE250136-89BD-433C-8126-D09CA5730AF9}">
        <x15:connection id="Table1-f6ccf117-0336-4e17-b28b-77110cbc0d51">
          <x15:rangePr sourceName="_xlcn.LinkedTable_Table1"/>
        </x15:connection>
      </ext>
    </extLst>
  </connection>
  <connection id="2" xr16:uid="{00000000-0015-0000-FFFF-FFFF01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<sst xmlns="http://schemas.openxmlformats.org/spreadsheetml/2006/main" count="131" uniqueCount="104">
  <si>
    <t>نام</t>
  </si>
  <si>
    <t>نام خانوادگی</t>
  </si>
  <si>
    <t>شماره ملی</t>
  </si>
  <si>
    <t>حق مسکن</t>
  </si>
  <si>
    <t>نام کارمند</t>
  </si>
  <si>
    <t>کارکرد</t>
  </si>
  <si>
    <t xml:space="preserve">حقوق ثابت  </t>
  </si>
  <si>
    <t>اضافه کار</t>
  </si>
  <si>
    <t xml:space="preserve">جمع حقوق و مزایا </t>
  </si>
  <si>
    <t>بن و مسکن</t>
  </si>
  <si>
    <t>سایر مزایا</t>
  </si>
  <si>
    <t>ساعت</t>
  </si>
  <si>
    <t>مبلغ</t>
  </si>
  <si>
    <t>7% حق بیمه</t>
  </si>
  <si>
    <t>مالیات</t>
  </si>
  <si>
    <t>قسط وام</t>
  </si>
  <si>
    <t>حقوق و مزایا</t>
  </si>
  <si>
    <t>کسر کار</t>
  </si>
  <si>
    <t>سایر کسورات</t>
  </si>
  <si>
    <t>جمع کسورات</t>
  </si>
  <si>
    <t>رند حقوق</t>
  </si>
  <si>
    <t>خالص دریافتی</t>
  </si>
  <si>
    <t>کسورات</t>
  </si>
  <si>
    <t>لیست حقوق و دستمزد</t>
  </si>
  <si>
    <t>سال</t>
  </si>
  <si>
    <t xml:space="preserve">دوره مربوط به ماه </t>
  </si>
  <si>
    <t>کد کارمند</t>
  </si>
  <si>
    <t>کد</t>
  </si>
  <si>
    <t>نام و نام خانوادگی</t>
  </si>
  <si>
    <t>دقیقه</t>
  </si>
  <si>
    <t xml:space="preserve">از </t>
  </si>
  <si>
    <t>تا</t>
  </si>
  <si>
    <t>جمع</t>
  </si>
  <si>
    <t>کارمند</t>
  </si>
  <si>
    <t>20% سهم کارفرما</t>
  </si>
  <si>
    <t>3% بیمه بیکاری</t>
  </si>
  <si>
    <t>حق بیمه پرداختنی</t>
  </si>
  <si>
    <t>ریز قرارداد کارکنان</t>
  </si>
  <si>
    <t>حقوق ثابت</t>
  </si>
  <si>
    <t>بیمه سهم کارمند</t>
  </si>
  <si>
    <t>مالیات حقوق</t>
  </si>
  <si>
    <t>کارکرد ماهانه</t>
  </si>
  <si>
    <t>خالص پرداختی</t>
  </si>
  <si>
    <t>ريال</t>
  </si>
  <si>
    <t>کارکرد-روز</t>
  </si>
  <si>
    <t>کاوه</t>
  </si>
  <si>
    <t>علی</t>
  </si>
  <si>
    <t>حسینی</t>
  </si>
  <si>
    <t>رسانه آموزش لیموناد - limoonad.com</t>
  </si>
  <si>
    <t>احمد</t>
  </si>
  <si>
    <t>تابان</t>
  </si>
  <si>
    <t xml:space="preserve">مریم </t>
  </si>
  <si>
    <t>صدر</t>
  </si>
  <si>
    <t>کد پرسنلی</t>
  </si>
  <si>
    <t>مسعود</t>
  </si>
  <si>
    <t>کمانی</t>
  </si>
  <si>
    <t>بابا احمدی</t>
  </si>
  <si>
    <t>جمع هزینه پرداختی کارفرما</t>
  </si>
  <si>
    <t>ورود دیتا</t>
  </si>
  <si>
    <t>معافیت دو هفتم</t>
  </si>
  <si>
    <t>جمع کل</t>
  </si>
  <si>
    <t>مالیات (درصد)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</si>
  <si>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</si>
  <si>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</si>
  <si>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تاریخ</t>
  </si>
  <si>
    <t>فروردین</t>
  </si>
  <si>
    <t>محاسبات مالیات حقوق</t>
  </si>
  <si>
    <t>لطفاْ جهت فعال سازی فایل، ابتدا در نوار زرد رنگ بالا، روی گزینه Enable Editing  کلیک کنید سپس با دقت به سوالات زیر پاسخ دهید.</t>
  </si>
  <si>
    <t xml:space="preserve"> limoonad.com</t>
  </si>
  <si>
    <t>نرم افزار اکسل رایگان حقوق و دستمزد لیموناد</t>
  </si>
  <si>
    <t>لیموناد جامع ترین پلتفرم آموزش ویدیویی</t>
  </si>
  <si>
    <t>آموزش حسابداری</t>
  </si>
  <si>
    <t>آموزش اکسل</t>
  </si>
  <si>
    <t>دستمزد (روزانه)</t>
  </si>
  <si>
    <t>بن (ماهانه)</t>
  </si>
  <si>
    <t>مسکن (ماهانه)</t>
  </si>
  <si>
    <t>تاهل (ماهانه)</t>
  </si>
  <si>
    <t>فرزند (ماهانه)</t>
  </si>
  <si>
    <t>پایه سنوات</t>
  </si>
  <si>
    <t>پایه سنوات (روزانه)</t>
  </si>
  <si>
    <t>تعداد فرزند</t>
  </si>
  <si>
    <t>متاهل
1 -&gt; بله
0 -&gt; خیر</t>
  </si>
  <si>
    <t>حق تاهل</t>
  </si>
  <si>
    <t>حق فرزند</t>
  </si>
  <si>
    <t>حق مسکن (روزانه)</t>
  </si>
  <si>
    <t>حق خواربار (روزانه)</t>
  </si>
  <si>
    <t>حق تاهل (روزانه)</t>
  </si>
  <si>
    <t>حق فرزند (روزانه)</t>
  </si>
  <si>
    <t>حقوق پایه (30 روز)</t>
  </si>
  <si>
    <t>پایه سنوات سال گذشته (روازنه)</t>
  </si>
  <si>
    <t>سایر مزایا نسبت به کارکرد (روزانه)</t>
  </si>
  <si>
    <t>حق بن</t>
  </si>
  <si>
    <t>ماموریت</t>
  </si>
  <si>
    <t>روز</t>
  </si>
  <si>
    <t>حقوق مشمول بیمه</t>
  </si>
  <si>
    <t>بیش از 1سال سابقه
1 -&gt; بله
0 -&gt; خیر</t>
  </si>
  <si>
    <t>حق بن و مسکن</t>
  </si>
  <si>
    <t>حق ماموریت</t>
  </si>
  <si>
    <r>
      <t>نام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و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نام‌خانوادگی</t>
    </r>
  </si>
  <si>
    <t>درصد سایر سطوح</t>
  </si>
  <si>
    <t>حقوق مصوب 1403</t>
  </si>
  <si>
    <t>آموزش کسب کار</t>
  </si>
  <si>
    <t>آموزش ورد</t>
  </si>
  <si>
    <t>آموزش نرم افزارهای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</si>
</sst>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IRANSansFaNum Medium"/>
      <family val="2"/>
    </font>
    <font>
      <sz val="11"/>
      <color theme="1"/>
      <name val="IRANSansFaNum Medium"/>
      <family val="2"/>
    </font>
    <font>
      <b/>
      <sz val="11"/>
      <color theme="1"/>
      <name val="IRANSansFaNum Medium"/>
      <family val="2"/>
    </font>
    <font>
      <b/>
      <sz val="12"/>
      <color theme="1"/>
      <name val="IRANSansFaNum Medium"/>
      <family val="2"/>
    </font>
    <font>
      <sz val="14"/>
      <color theme="1"/>
      <name val="IRANSans(MonoSpacedNum) Medium"/>
      <family val="2"/>
    </font>
    <font>
      <sz val="11"/>
      <color theme="1"/>
      <name val="IRANSans(MonoSpacedNum) Medium"/>
      <family val="2"/>
    </font>
    <font>
      <sz val="10"/>
      <color theme="1"/>
      <name val="IRANSans(MonoSpacedNum) Medium"/>
      <family val="2"/>
    </font>
    <font>
      <sz val="8"/>
      <color theme="1"/>
      <name val="IRANSans(MonoSpacedNum) Medium"/>
      <family val="2"/>
    </font>
    <font>
      <sz val="11"/>
      <color theme="0"/>
      <name val="IRANSans(MonoSpacedNum) Medium"/>
      <family val="2"/>
    </font>
    <font>
      <b/>
      <sz val="20"/>
      <color theme="0"/>
      <name val="IRANSansFaNum Medium"/>
      <family val="2"/>
    </font>
    <font>
      <b/>
      <sz val="14"/>
      <color theme="0"/>
      <name val="IRANSansFaNum Medium"/>
      <family val="2"/>
    </font>
    <font>
      <b/>
      <sz val="12"/>
      <color theme="1"/>
      <name val="IRANSansMobileFaNum Medium"/>
      <family val="2"/>
    </font>
    <font>
      <sz val="11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b/>
      <sz val="12"/>
      <color theme="0"/>
      <name val="IRANSansMobileFaNum Medium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B Nazanin"/>
      <charset val="178"/>
    </font>
    <font>
      <sz val="12"/>
      <color theme="1"/>
      <name val="IRANSansFaNum Black"/>
      <family val="2"/>
    </font>
    <font>
      <sz val="12"/>
      <color theme="1"/>
      <name val="IRANSansFaNum Medium"/>
      <family val="2"/>
    </font>
    <font>
      <sz val="22"/>
      <color rgb="FF7F03FB"/>
      <name val="B Nazanin"/>
      <charset val="178"/>
    </font>
    <font>
      <u/>
      <sz val="22"/>
      <color rgb="FF7F03FB"/>
      <name val="B Nazanin"/>
      <charset val="178"/>
    </font>
    <font>
      <sz val="12"/>
      <color theme="0"/>
      <name val="IRANSansFaNum Medium"/>
      <family val="2"/>
    </font>
    <font>
      <b/>
      <sz val="8"/>
      <color theme="1"/>
      <name val="IRANSansMobileFaNum Medium"/>
      <family val="2"/>
    </font>
    <font>
      <sz val="10"/>
      <color theme="0"/>
      <name val="IRANSans(MonoSpacedNum) Medium"/>
      <family val="2"/>
    </font>
    <font>
      <sz val="10"/>
      <color theme="1" tint="0.499984740745262"/>
      <name val="IRANSans(MonoSpacedNum) Medium"/>
      <family val="2"/>
    </font>
    <font>
      <b/>
      <u/>
      <sz val="12"/>
      <color theme="0"/>
      <name val="IRAN Sans"/>
      <family val="2"/>
    </font>
    <font>
      <b/>
      <u/>
      <sz val="12"/>
      <color theme="1"/>
      <name val="IRAN Sans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03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rgb="FF7F03FB"/>
      </left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 style="medium">
        <color rgb="FF7F03FB"/>
      </left>
      <right/>
      <top style="medium">
        <color rgb="FF7F03FB"/>
      </top>
      <bottom style="medium">
        <color rgb="FF7F03FB"/>
      </bottom>
      <diagonal/>
    </border>
    <border>
      <left/>
      <right/>
      <top style="medium">
        <color rgb="FF7F03FB"/>
      </top>
      <bottom style="medium">
        <color rgb="FF7F03FB"/>
      </bottom>
      <diagonal/>
    </border>
    <border>
      <left/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/>
      <right/>
      <top style="medium">
        <color rgb="FF7F03F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7F03FB"/>
      </left>
      <right/>
      <top style="medium">
        <color rgb="FF7F03FB"/>
      </top>
      <bottom/>
      <diagonal/>
    </border>
    <border>
      <left style="medium">
        <color rgb="FF7F03FB"/>
      </left>
      <right/>
      <top/>
      <bottom/>
      <diagonal/>
    </border>
    <border>
      <left/>
      <right style="medium">
        <color rgb="FF7F03FB"/>
      </right>
      <top style="medium">
        <color rgb="FF7F03FB"/>
      </top>
      <bottom/>
      <diagonal/>
    </border>
    <border>
      <left/>
      <right style="medium">
        <color rgb="FF7F03FB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/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 style="medium">
        <color rgb="FF7F03FB"/>
      </left>
      <right/>
      <top/>
      <bottom style="medium">
        <color rgb="FF7F03FB"/>
      </bottom>
      <diagonal/>
    </border>
    <border>
      <left/>
      <right style="medium">
        <color rgb="FF7F03FB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37" fontId="3" fillId="0" borderId="8" xfId="1" applyNumberFormat="1" applyFont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37" fontId="3" fillId="5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1" xfId="1" applyNumberFormat="1" applyFont="1" applyBorder="1" applyAlignment="1" applyProtection="1">
      <alignment horizontal="center" vertical="center"/>
      <protection hidden="1"/>
    </xf>
    <xf numFmtId="38" fontId="9" fillId="0" borderId="4" xfId="1" applyNumberFormat="1" applyFont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37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37" fontId="3" fillId="0" borderId="8" xfId="1" applyNumberFormat="1" applyFont="1" applyBorder="1" applyAlignment="1" applyProtection="1">
      <alignment horizontal="center" vertical="center"/>
      <protection hidden="1"/>
    </xf>
    <xf numFmtId="37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7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37" fontId="4" fillId="0" borderId="12" xfId="0" applyNumberFormat="1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37" fontId="3" fillId="0" borderId="14" xfId="1" applyNumberFormat="1" applyFont="1" applyBorder="1" applyAlignment="1" applyProtection="1">
      <alignment horizontal="center" vertical="center"/>
      <protection hidden="1"/>
    </xf>
    <xf numFmtId="37" fontId="3" fillId="0" borderId="14" xfId="1" applyNumberFormat="1" applyFont="1" applyFill="1" applyBorder="1" applyAlignment="1" applyProtection="1">
      <alignment horizontal="center" vertical="center"/>
      <protection hidden="1"/>
    </xf>
    <xf numFmtId="37" fontId="4" fillId="0" borderId="15" xfId="0" applyNumberFormat="1" applyFont="1" applyBorder="1" applyAlignment="1" applyProtection="1">
      <alignment horizontal="center" vertical="center"/>
      <protection hidden="1"/>
    </xf>
    <xf numFmtId="37" fontId="4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7" fontId="4" fillId="2" borderId="20" xfId="0" applyNumberFormat="1" applyFont="1" applyFill="1" applyBorder="1" applyAlignment="1" applyProtection="1">
      <alignment horizontal="center" vertical="center"/>
      <protection hidden="1"/>
    </xf>
    <xf numFmtId="165" fontId="4" fillId="12" borderId="8" xfId="1" applyNumberFormat="1" applyFont="1" applyFill="1" applyBorder="1" applyAlignment="1">
      <alignment horizontal="center" vertical="center"/>
    </xf>
    <xf numFmtId="37" fontId="4" fillId="12" borderId="8" xfId="1" applyNumberFormat="1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9" fontId="4" fillId="12" borderId="2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33" xfId="0" applyFont="1" applyBorder="1" applyAlignment="1">
      <alignment vertical="center"/>
    </xf>
    <xf numFmtId="0" fontId="14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4" xfId="0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37" fontId="14" fillId="0" borderId="43" xfId="1" applyNumberFormat="1" applyFont="1" applyBorder="1" applyAlignment="1">
      <alignment horizontal="center" vertical="center"/>
    </xf>
    <xf numFmtId="37" fontId="14" fillId="0" borderId="44" xfId="1" applyNumberFormat="1" applyFont="1" applyBorder="1" applyAlignment="1">
      <alignment horizontal="center" vertical="center"/>
    </xf>
    <xf numFmtId="37" fontId="14" fillId="0" borderId="45" xfId="1" applyNumberFormat="1" applyFont="1" applyBorder="1" applyAlignment="1">
      <alignment horizontal="center" vertical="center"/>
    </xf>
    <xf numFmtId="37" fontId="14" fillId="0" borderId="38" xfId="1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37" fontId="14" fillId="0" borderId="32" xfId="1" applyNumberFormat="1" applyFont="1" applyBorder="1" applyAlignment="1">
      <alignment horizontal="center" vertical="center"/>
    </xf>
    <xf numFmtId="165" fontId="16" fillId="0" borderId="32" xfId="1" applyNumberFormat="1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37" fontId="3" fillId="0" borderId="0" xfId="1" applyNumberFormat="1" applyFont="1" applyBorder="1" applyAlignment="1" applyProtection="1">
      <alignment horizontal="center" vertical="center"/>
      <protection locked="0"/>
    </xf>
    <xf numFmtId="0" fontId="25" fillId="7" borderId="8" xfId="0" applyFont="1" applyFill="1" applyBorder="1" applyAlignment="1">
      <alignment horizontal="center" vertical="center" wrapText="1"/>
    </xf>
    <xf numFmtId="165" fontId="25" fillId="7" borderId="8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7" fillId="11" borderId="57" xfId="1" applyNumberFormat="1" applyFont="1" applyFill="1" applyBorder="1" applyAlignment="1" applyProtection="1">
      <alignment vertical="center"/>
      <protection locked="0"/>
    </xf>
    <xf numFmtId="0" fontId="24" fillId="0" borderId="53" xfId="2" applyFont="1" applyBorder="1" applyAlignment="1" applyProtection="1">
      <alignment vertical="center" shrinkToFit="1"/>
      <protection hidden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37" fontId="3" fillId="0" borderId="61" xfId="1" applyNumberFormat="1" applyFont="1" applyBorder="1" applyAlignment="1" applyProtection="1">
      <alignment horizontal="center" vertical="center"/>
      <protection locked="0"/>
    </xf>
    <xf numFmtId="37" fontId="3" fillId="0" borderId="62" xfId="1" applyNumberFormat="1" applyFont="1" applyBorder="1" applyAlignment="1" applyProtection="1">
      <alignment horizontal="center" vertical="center"/>
      <protection locked="0"/>
    </xf>
    <xf numFmtId="37" fontId="3" fillId="0" borderId="63" xfId="1" applyNumberFormat="1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165" fontId="8" fillId="0" borderId="0" xfId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38" fontId="28" fillId="0" borderId="3" xfId="1" applyNumberFormat="1" applyFont="1" applyBorder="1" applyAlignment="1" applyProtection="1">
      <alignment horizontal="center" vertical="center"/>
      <protection locked="0"/>
    </xf>
    <xf numFmtId="38" fontId="8" fillId="0" borderId="2" xfId="1" applyNumberFormat="1" applyFont="1" applyBorder="1" applyAlignment="1" applyProtection="1">
      <alignment horizontal="center" vertical="center"/>
      <protection hidden="1"/>
    </xf>
    <xf numFmtId="38" fontId="28" fillId="0" borderId="2" xfId="1" applyNumberFormat="1" applyFont="1" applyBorder="1" applyAlignment="1" applyProtection="1">
      <alignment horizontal="center" vertical="center"/>
      <protection locked="0"/>
    </xf>
    <xf numFmtId="38" fontId="8" fillId="0" borderId="1" xfId="1" applyNumberFormat="1" applyFont="1" applyBorder="1" applyAlignment="1">
      <alignment horizontal="center" vertical="center"/>
    </xf>
    <xf numFmtId="38" fontId="27" fillId="8" borderId="1" xfId="0" applyNumberFormat="1" applyFont="1" applyFill="1" applyBorder="1" applyAlignment="1" applyProtection="1">
      <alignment horizontal="center" vertical="center"/>
      <protection hidden="1"/>
    </xf>
    <xf numFmtId="38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1" xfId="0" applyNumberFormat="1" applyFont="1" applyBorder="1" applyAlignment="1" applyProtection="1">
      <alignment horizontal="center" vertical="center"/>
      <protection hidden="1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readingOrder="2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9" fillId="14" borderId="49" xfId="2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5" fontId="29" fillId="0" borderId="0" xfId="1" applyNumberFormat="1" applyFont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3" fillId="9" borderId="50" xfId="0" applyFont="1" applyFill="1" applyBorder="1" applyAlignment="1" applyProtection="1">
      <alignment horizontal="left" vertical="center" shrinkToFit="1"/>
      <protection hidden="1"/>
    </xf>
    <xf numFmtId="0" fontId="23" fillId="9" borderId="51" xfId="0" applyFont="1" applyFill="1" applyBorder="1" applyAlignment="1" applyProtection="1">
      <alignment horizontal="left" vertical="center" shrinkToFit="1"/>
      <protection hidden="1"/>
    </xf>
    <xf numFmtId="0" fontId="24" fillId="9" borderId="51" xfId="2" applyFont="1" applyFill="1" applyBorder="1" applyAlignment="1" applyProtection="1">
      <alignment horizontal="right" vertical="center" shrinkToFit="1"/>
      <protection hidden="1"/>
    </xf>
    <xf numFmtId="0" fontId="24" fillId="9" borderId="52" xfId="2" applyFont="1" applyFill="1" applyBorder="1" applyAlignment="1" applyProtection="1">
      <alignment horizontal="right" vertical="center" shrinkToFit="1"/>
      <protection hidden="1"/>
    </xf>
    <xf numFmtId="0" fontId="29" fillId="10" borderId="50" xfId="2" applyFont="1" applyFill="1" applyBorder="1" applyAlignment="1">
      <alignment horizontal="center" vertical="center"/>
    </xf>
    <xf numFmtId="0" fontId="29" fillId="10" borderId="51" xfId="2" applyFont="1" applyFill="1" applyBorder="1" applyAlignment="1">
      <alignment horizontal="center" vertical="center"/>
    </xf>
    <xf numFmtId="165" fontId="29" fillId="15" borderId="50" xfId="2" applyNumberFormat="1" applyFont="1" applyFill="1" applyBorder="1" applyAlignment="1">
      <alignment horizontal="center" vertical="center"/>
    </xf>
    <xf numFmtId="165" fontId="29" fillId="15" borderId="52" xfId="2" applyNumberFormat="1" applyFont="1" applyFill="1" applyBorder="1" applyAlignment="1">
      <alignment horizontal="center" vertical="center"/>
    </xf>
    <xf numFmtId="0" fontId="29" fillId="13" borderId="51" xfId="2" applyFont="1" applyFill="1" applyBorder="1" applyAlignment="1">
      <alignment horizontal="center" vertical="center"/>
    </xf>
    <xf numFmtId="0" fontId="29" fillId="13" borderId="52" xfId="2" applyFont="1" applyFill="1" applyBorder="1" applyAlignment="1">
      <alignment horizontal="center" vertical="center"/>
    </xf>
    <xf numFmtId="165" fontId="29" fillId="8" borderId="50" xfId="2" applyNumberFormat="1" applyFont="1" applyFill="1" applyBorder="1" applyAlignment="1">
      <alignment horizontal="center" vertical="center"/>
    </xf>
    <xf numFmtId="165" fontId="29" fillId="8" borderId="52" xfId="2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165" fontId="3" fillId="0" borderId="59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30" fillId="9" borderId="50" xfId="2" applyFont="1" applyFill="1" applyBorder="1" applyAlignment="1">
      <alignment horizontal="center" vertical="center"/>
    </xf>
    <xf numFmtId="0" fontId="30" fillId="9" borderId="51" xfId="2" applyFont="1" applyFill="1" applyBorder="1" applyAlignment="1">
      <alignment horizontal="center" vertical="center"/>
    </xf>
    <xf numFmtId="0" fontId="30" fillId="9" borderId="52" xfId="2" applyFont="1" applyFill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165" fontId="7" fillId="9" borderId="2" xfId="1" applyNumberFormat="1" applyFont="1" applyFill="1" applyBorder="1" applyAlignment="1">
      <alignment horizontal="center" vertical="center"/>
    </xf>
    <xf numFmtId="165" fontId="7" fillId="9" borderId="3" xfId="1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readingOrder="2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5" fontId="7" fillId="9" borderId="9" xfId="1" applyNumberFormat="1" applyFont="1" applyFill="1" applyBorder="1" applyAlignment="1">
      <alignment horizontal="center" vertical="center"/>
    </xf>
    <xf numFmtId="165" fontId="7" fillId="9" borderId="54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165" fontId="9" fillId="0" borderId="4" xfId="1" applyNumberFormat="1" applyFont="1" applyBorder="1" applyAlignment="1">
      <alignment horizontal="center" vertical="center"/>
    </xf>
    <xf numFmtId="165" fontId="7" fillId="11" borderId="8" xfId="1" applyNumberFormat="1" applyFont="1" applyFill="1" applyBorder="1" applyAlignment="1" applyProtection="1">
      <alignment horizontal="center" vertical="center"/>
      <protection locked="0"/>
    </xf>
    <xf numFmtId="165" fontId="7" fillId="2" borderId="8" xfId="1" applyNumberFormat="1" applyFont="1" applyFill="1" applyBorder="1" applyAlignment="1" applyProtection="1">
      <alignment horizontal="center" vertical="center"/>
      <protection locked="0"/>
    </xf>
    <xf numFmtId="165" fontId="7" fillId="11" borderId="55" xfId="1" applyNumberFormat="1" applyFont="1" applyFill="1" applyBorder="1" applyAlignment="1" applyProtection="1">
      <alignment horizontal="center" vertical="center"/>
      <protection locked="0"/>
    </xf>
    <xf numFmtId="165" fontId="7" fillId="11" borderId="56" xfId="1" applyNumberFormat="1" applyFont="1" applyFill="1" applyBorder="1" applyAlignment="1" applyProtection="1">
      <alignment horizontal="center" vertical="center"/>
      <protection locked="0"/>
    </xf>
    <xf numFmtId="165" fontId="7" fillId="11" borderId="57" xfId="1" applyNumberFormat="1" applyFont="1" applyFill="1" applyBorder="1" applyAlignment="1" applyProtection="1">
      <alignment horizontal="center" vertical="center"/>
      <protection locked="0"/>
    </xf>
    <xf numFmtId="165" fontId="7" fillId="2" borderId="55" xfId="1" applyNumberFormat="1" applyFont="1" applyFill="1" applyBorder="1" applyAlignment="1" applyProtection="1">
      <alignment horizontal="center" vertical="center"/>
      <protection locked="0"/>
    </xf>
    <xf numFmtId="165" fontId="7" fillId="2" borderId="56" xfId="1" applyNumberFormat="1" applyFont="1" applyFill="1" applyBorder="1" applyAlignment="1" applyProtection="1">
      <alignment horizontal="center" vertical="center"/>
      <protection locked="0"/>
    </xf>
    <xf numFmtId="165" fontId="7" fillId="2" borderId="57" xfId="1" applyNumberFormat="1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10" fillId="10" borderId="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/>
    </xf>
    <xf numFmtId="165" fontId="4" fillId="12" borderId="23" xfId="1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 wrapText="1"/>
    </xf>
    <xf numFmtId="165" fontId="4" fillId="12" borderId="23" xfId="1" applyNumberFormat="1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165" fontId="17" fillId="0" borderId="40" xfId="1" applyNumberFormat="1" applyFont="1" applyBorder="1" applyAlignment="1">
      <alignment horizontal="right" vertical="center" wrapText="1" readingOrder="1"/>
    </xf>
    <xf numFmtId="0" fontId="15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37" fontId="16" fillId="0" borderId="42" xfId="1" applyNumberFormat="1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</cellXfs>
  <cellStyles count="4">
    <cellStyle name="Comma" xfId="1" builtinId="3"/>
    <cellStyle name="Comma 2" xfId="3" xr:uid="{5C37A93E-2DE7-4D6B-BA3E-8DEA6CAC1A55}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7F0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moonad.com/category/83/%D8%A7%DA%A9%D8%B3%D9%84?utm_source=af&amp;utm_medium=excel&amp;utm_campaign=2024-3-29&amp;afid=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limoonad.com/category/142/%D8%AD%D8%B3%D8%A7%D8%A8%D8%AF%D8%A7%D8%B1%DB%8C?utm_source=af&amp;utm_medium=excel&amp;utm_campaign=2024-3-29&amp;afid=3" TargetMode="External"/><Relationship Id="rId1" Type="http://schemas.openxmlformats.org/officeDocument/2006/relationships/hyperlink" Target="https://www.limoonad.com/courses/all?utm_source=excel&amp;utm_medium=majidmohajeri&amp;utm_campaign=2024-3-29&amp;afid=3" TargetMode="External"/><Relationship Id="rId6" Type="http://schemas.openxmlformats.org/officeDocument/2006/relationships/hyperlink" Target="https://www.limoonad.com/category/82/%D9%88%D8%B1%D8%AF?utm_source=af&amp;utm_medium=excel&amp;utm_campaign=2024-3-29&amp;afid=3" TargetMode="External"/><Relationship Id="rId5" Type="http://schemas.openxmlformats.org/officeDocument/2006/relationships/hyperlink" Target="https://www.limoonad.com/courses/%da%a9%d8%b3%d8%a8-%d9%88-%da%a9%d8%a7%d8%b1?utm_source=af&amp;utm_medium=excel&amp;utm_campaign=2024-3-29&amp;afid=3" TargetMode="External"/><Relationship Id="rId4" Type="http://schemas.openxmlformats.org/officeDocument/2006/relationships/hyperlink" Target="https://www.limoonad.com/category/556/%D9%86%D8%B1%D9%85-%D8%A7%D9%81%D8%B2%D8%A7%D8%B1%D9%87%D8%A7%DB%8C-%D9%85%D8%A7%D9%84%DB%8C?utm_source=af&amp;utm_medium=excel&amp;utm_campaign=2024-3-29&amp;afid=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0"/>
  <sheetViews>
    <sheetView rightToLeft="1" topLeftCell="A6" zoomScaleNormal="100" workbookViewId="0">
      <selection activeCell="E15" sqref="E15:I19"/>
    </sheetView>
  </sheetViews>
  <sheetFormatPr defaultRowHeight="19.5" x14ac:dyDescent="0.25"/>
  <cols>
    <col min="1" max="1" width="7.7109375" style="3" customWidth="1"/>
    <col min="2" max="3" width="18.5703125" style="3" customWidth="1"/>
    <col min="4" max="4" width="17" style="3" customWidth="1"/>
    <col min="5" max="7" width="13.42578125" style="3" customWidth="1"/>
    <col min="8" max="8" width="17" style="3" customWidth="1"/>
    <col min="9" max="15" width="17" style="5" customWidth="1"/>
    <col min="16" max="16" width="17" style="3" customWidth="1"/>
    <col min="17" max="18" width="9.140625" style="3"/>
    <col min="19" max="19" width="19.85546875" style="3" bestFit="1" customWidth="1"/>
    <col min="20" max="20" width="12.85546875" style="3" bestFit="1" customWidth="1"/>
    <col min="21" max="16384" width="9.140625" style="3"/>
  </cols>
  <sheetData>
    <row r="1" spans="1:20" ht="45" customHeight="1" thickBot="1" x14ac:dyDescent="0.3">
      <c r="A1" s="113" t="s">
        <v>69</v>
      </c>
      <c r="B1" s="114"/>
      <c r="C1" s="114"/>
      <c r="D1" s="114"/>
      <c r="E1" s="114"/>
      <c r="F1" s="114"/>
      <c r="G1" s="114"/>
      <c r="H1" s="115" t="s">
        <v>68</v>
      </c>
      <c r="I1" s="115"/>
      <c r="J1" s="115"/>
      <c r="K1" s="115"/>
      <c r="L1" s="116"/>
      <c r="M1" s="3"/>
      <c r="N1" s="76"/>
      <c r="O1" s="76"/>
      <c r="P1" s="76"/>
    </row>
    <row r="2" spans="1:20" s="78" customFormat="1" ht="21" thickBot="1" x14ac:dyDescent="0.3">
      <c r="A2" s="110" t="s">
        <v>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77"/>
      <c r="N2" s="77"/>
      <c r="O2" s="77"/>
      <c r="P2" s="77"/>
    </row>
    <row r="3" spans="1:20" ht="9.75" customHeight="1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04"/>
      <c r="N3" s="104"/>
      <c r="O3" s="104"/>
      <c r="P3" s="104"/>
    </row>
    <row r="4" spans="1:20" s="106" customFormat="1" ht="26.25" thickBot="1" x14ac:dyDescent="0.3">
      <c r="A4" s="134" t="s">
        <v>70</v>
      </c>
      <c r="B4" s="135"/>
      <c r="C4" s="136"/>
      <c r="D4" s="117" t="s">
        <v>71</v>
      </c>
      <c r="E4" s="118"/>
      <c r="F4" s="119" t="s">
        <v>103</v>
      </c>
      <c r="G4" s="120"/>
      <c r="H4" s="121" t="s">
        <v>101</v>
      </c>
      <c r="I4" s="122"/>
      <c r="J4" s="123" t="s">
        <v>72</v>
      </c>
      <c r="K4" s="124"/>
      <c r="L4" s="105" t="s">
        <v>102</v>
      </c>
      <c r="M4" s="109"/>
      <c r="N4" s="109"/>
      <c r="O4" s="109"/>
      <c r="P4" s="109"/>
    </row>
    <row r="5" spans="1:20" ht="13.5" customHeight="1" thickBot="1" x14ac:dyDescent="0.3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P5" s="5"/>
    </row>
    <row r="6" spans="1:20" ht="27" customHeight="1" thickBot="1" x14ac:dyDescent="0.3">
      <c r="A6" s="131"/>
      <c r="B6" s="125" t="s">
        <v>100</v>
      </c>
      <c r="C6" s="126"/>
      <c r="D6" s="83" t="s">
        <v>73</v>
      </c>
      <c r="E6" s="84" t="s">
        <v>74</v>
      </c>
      <c r="F6" s="84" t="s">
        <v>75</v>
      </c>
      <c r="G6" s="84" t="s">
        <v>77</v>
      </c>
      <c r="H6" s="84" t="s">
        <v>76</v>
      </c>
      <c r="I6" s="84" t="s">
        <v>79</v>
      </c>
      <c r="J6" s="85" t="s">
        <v>99</v>
      </c>
      <c r="K6" s="132"/>
      <c r="L6" s="133"/>
      <c r="M6" s="79"/>
      <c r="N6" s="79"/>
      <c r="O6" s="70"/>
      <c r="P6" s="79"/>
    </row>
    <row r="7" spans="1:20" ht="16.5" customHeight="1" thickBot="1" x14ac:dyDescent="0.3">
      <c r="A7" s="131"/>
      <c r="B7" s="127"/>
      <c r="C7" s="128"/>
      <c r="D7" s="81">
        <v>2388728</v>
      </c>
      <c r="E7" s="82">
        <v>14000000</v>
      </c>
      <c r="F7" s="82">
        <v>9000000</v>
      </c>
      <c r="G7" s="82">
        <v>7166184</v>
      </c>
      <c r="H7" s="82">
        <v>5000000</v>
      </c>
      <c r="I7" s="82">
        <v>70000</v>
      </c>
      <c r="J7" s="80">
        <v>22</v>
      </c>
      <c r="K7" s="132"/>
      <c r="L7" s="133"/>
      <c r="M7" s="79"/>
      <c r="N7" s="79"/>
      <c r="O7" s="71"/>
    </row>
    <row r="8" spans="1:20" ht="30" x14ac:dyDescent="0.25">
      <c r="A8" s="107" t="s">
        <v>37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20" s="74" customFormat="1" ht="81" x14ac:dyDescent="0.25">
      <c r="A9" s="72" t="s">
        <v>53</v>
      </c>
      <c r="B9" s="72" t="s">
        <v>0</v>
      </c>
      <c r="C9" s="72" t="s">
        <v>1</v>
      </c>
      <c r="D9" s="72" t="s">
        <v>2</v>
      </c>
      <c r="E9" s="72" t="s">
        <v>95</v>
      </c>
      <c r="F9" s="72" t="s">
        <v>81</v>
      </c>
      <c r="G9" s="72" t="s">
        <v>80</v>
      </c>
      <c r="H9" s="72" t="s">
        <v>89</v>
      </c>
      <c r="I9" s="73" t="s">
        <v>88</v>
      </c>
      <c r="J9" s="73" t="s">
        <v>73</v>
      </c>
      <c r="K9" s="73" t="s">
        <v>84</v>
      </c>
      <c r="L9" s="73" t="s">
        <v>85</v>
      </c>
      <c r="M9" s="73" t="s">
        <v>86</v>
      </c>
      <c r="N9" s="73" t="s">
        <v>87</v>
      </c>
      <c r="O9" s="73" t="s">
        <v>79</v>
      </c>
      <c r="P9" s="72" t="s">
        <v>90</v>
      </c>
      <c r="S9" s="74" t="s">
        <v>28</v>
      </c>
      <c r="T9" s="74" t="s">
        <v>9</v>
      </c>
    </row>
    <row r="10" spans="1:20" ht="27" customHeight="1" x14ac:dyDescent="0.25">
      <c r="A10" s="6">
        <v>1</v>
      </c>
      <c r="B10" s="7" t="s">
        <v>46</v>
      </c>
      <c r="C10" s="7" t="s">
        <v>47</v>
      </c>
      <c r="D10" s="8"/>
      <c r="E10" s="7">
        <v>1</v>
      </c>
      <c r="F10" s="7">
        <v>1</v>
      </c>
      <c r="G10" s="7">
        <v>2</v>
      </c>
      <c r="H10" s="9">
        <v>7000</v>
      </c>
      <c r="I10" s="9">
        <v>71661840</v>
      </c>
      <c r="J10" s="9">
        <f>I10/30</f>
        <v>2388728</v>
      </c>
      <c r="K10" s="9">
        <f>IF(I10&gt;0,F7,0)/30</f>
        <v>300000</v>
      </c>
      <c r="L10" s="9">
        <f>IF(I10&gt;0,E7,0)/30</f>
        <v>466666.66666666669</v>
      </c>
      <c r="M10" s="9">
        <f>IF(AND(F10=1, I10&gt;0),H7,0)/30</f>
        <v>166666.66666666666</v>
      </c>
      <c r="N10" s="9">
        <f>G7*G10/30</f>
        <v>477745.6</v>
      </c>
      <c r="O10" s="9">
        <f>IF(E10=1,H10+H10*J7/100+I7,0)</f>
        <v>78540</v>
      </c>
      <c r="P10" s="9">
        <v>0</v>
      </c>
      <c r="S10" s="3" t="str">
        <f t="shared" ref="S10:S19" si="0">CONCATENATE(B10," ",C10)</f>
        <v>علی حسینی</v>
      </c>
      <c r="T10" s="4">
        <f t="shared" ref="T10:T19" si="1">K10+L10</f>
        <v>766666.66666666674</v>
      </c>
    </row>
    <row r="11" spans="1:20" ht="27" customHeight="1" x14ac:dyDescent="0.25">
      <c r="A11" s="6">
        <v>2</v>
      </c>
      <c r="B11" s="10" t="s">
        <v>49</v>
      </c>
      <c r="C11" s="10" t="s">
        <v>50</v>
      </c>
      <c r="D11" s="11"/>
      <c r="E11" s="10">
        <v>0</v>
      </c>
      <c r="F11" s="10">
        <v>0</v>
      </c>
      <c r="G11" s="10">
        <v>0</v>
      </c>
      <c r="H11" s="12"/>
      <c r="I11" s="12">
        <v>71661840</v>
      </c>
      <c r="J11" s="12">
        <f t="shared" ref="J11:J19" si="2">I11/30</f>
        <v>2388728</v>
      </c>
      <c r="K11" s="12">
        <f>IF(I11&gt;0,F7,0)/30</f>
        <v>300000</v>
      </c>
      <c r="L11" s="12">
        <f>IF(I11&gt;0,E7,0)/30</f>
        <v>466666.66666666669</v>
      </c>
      <c r="M11" s="12">
        <f>IF(AND(F11=1, I11&gt;0),H7,0)/30</f>
        <v>0</v>
      </c>
      <c r="N11" s="12">
        <f>G7*G11/30</f>
        <v>0</v>
      </c>
      <c r="O11" s="12">
        <f>IF(E11=1,H11+H11*J7/100+I7,0)</f>
        <v>0</v>
      </c>
      <c r="P11" s="12">
        <v>0</v>
      </c>
      <c r="S11" s="3" t="str">
        <f t="shared" si="0"/>
        <v>احمد تابان</v>
      </c>
      <c r="T11" s="4">
        <f t="shared" si="1"/>
        <v>766666.66666666674</v>
      </c>
    </row>
    <row r="12" spans="1:20" ht="27" customHeight="1" x14ac:dyDescent="0.25">
      <c r="A12" s="6">
        <v>3</v>
      </c>
      <c r="B12" s="7" t="s">
        <v>51</v>
      </c>
      <c r="C12" s="7" t="s">
        <v>52</v>
      </c>
      <c r="D12" s="8"/>
      <c r="E12" s="7">
        <v>1</v>
      </c>
      <c r="F12" s="7">
        <v>0</v>
      </c>
      <c r="G12" s="7">
        <v>0</v>
      </c>
      <c r="H12" s="9"/>
      <c r="I12" s="9">
        <v>71661840</v>
      </c>
      <c r="J12" s="9">
        <f t="shared" si="2"/>
        <v>2388728</v>
      </c>
      <c r="K12" s="9">
        <f>IF(I12&gt;0,F7,0)/30</f>
        <v>300000</v>
      </c>
      <c r="L12" s="9">
        <f>IF(I12&gt;0,E7,0)/30</f>
        <v>466666.66666666669</v>
      </c>
      <c r="M12" s="9">
        <f>IF(AND(F12=1, I12&gt;0),H7,0)/30</f>
        <v>0</v>
      </c>
      <c r="N12" s="9">
        <f>G7*G12/30</f>
        <v>0</v>
      </c>
      <c r="O12" s="9">
        <f>IF(E12=1,H12+H12*J7/100+I7,0)</f>
        <v>70000</v>
      </c>
      <c r="P12" s="9">
        <v>0</v>
      </c>
      <c r="S12" s="3" t="str">
        <f t="shared" si="0"/>
        <v>مریم  صدر</v>
      </c>
      <c r="T12" s="4">
        <f t="shared" si="1"/>
        <v>766666.66666666674</v>
      </c>
    </row>
    <row r="13" spans="1:20" ht="27" customHeight="1" x14ac:dyDescent="0.25">
      <c r="A13" s="6">
        <v>4</v>
      </c>
      <c r="B13" s="10" t="s">
        <v>54</v>
      </c>
      <c r="C13" s="10" t="s">
        <v>55</v>
      </c>
      <c r="D13" s="11"/>
      <c r="E13" s="10">
        <v>1</v>
      </c>
      <c r="F13" s="10">
        <v>1</v>
      </c>
      <c r="G13" s="10">
        <v>1</v>
      </c>
      <c r="H13" s="12"/>
      <c r="I13" s="12">
        <v>71661840</v>
      </c>
      <c r="J13" s="12">
        <f t="shared" si="2"/>
        <v>2388728</v>
      </c>
      <c r="K13" s="12">
        <f>IF(I13&gt;0,F7,0)/30</f>
        <v>300000</v>
      </c>
      <c r="L13" s="12">
        <f>IF(I13&gt;0,E7,0)/30</f>
        <v>466666.66666666669</v>
      </c>
      <c r="M13" s="12">
        <f>IF(AND(F13=1, I13&gt;0),H7,0)/30</f>
        <v>166666.66666666666</v>
      </c>
      <c r="N13" s="12">
        <f>G7*G13/30</f>
        <v>238872.8</v>
      </c>
      <c r="O13" s="12">
        <f>IF(E13=1,H13+H13*J7/100+I7,0)</f>
        <v>70000</v>
      </c>
      <c r="P13" s="12">
        <v>0</v>
      </c>
      <c r="S13" s="3" t="str">
        <f t="shared" si="0"/>
        <v>مسعود کمانی</v>
      </c>
      <c r="T13" s="4">
        <f t="shared" si="1"/>
        <v>766666.66666666674</v>
      </c>
    </row>
    <row r="14" spans="1:20" ht="27" customHeight="1" x14ac:dyDescent="0.25">
      <c r="A14" s="6">
        <v>5</v>
      </c>
      <c r="B14" s="7" t="s">
        <v>45</v>
      </c>
      <c r="C14" s="7" t="s">
        <v>56</v>
      </c>
      <c r="D14" s="8"/>
      <c r="E14" s="7">
        <v>1</v>
      </c>
      <c r="F14" s="7">
        <v>1</v>
      </c>
      <c r="G14" s="7">
        <v>2</v>
      </c>
      <c r="H14" s="9">
        <v>7000</v>
      </c>
      <c r="I14" s="9">
        <v>71661840</v>
      </c>
      <c r="J14" s="9">
        <f t="shared" si="2"/>
        <v>2388728</v>
      </c>
      <c r="K14" s="9">
        <f>IF(I14&gt;0,F7,0)/30</f>
        <v>300000</v>
      </c>
      <c r="L14" s="9">
        <f>IF(I14&gt;0,E7,0)/30</f>
        <v>466666.66666666669</v>
      </c>
      <c r="M14" s="9">
        <f>IF(AND(F14=1, I14&gt;0),H7,0)/30</f>
        <v>166666.66666666666</v>
      </c>
      <c r="N14" s="9">
        <f>G7*G14/30</f>
        <v>477745.6</v>
      </c>
      <c r="O14" s="9">
        <f>IF(E14=1,H14+H14*J7/100+I7,0)</f>
        <v>78540</v>
      </c>
      <c r="P14" s="9">
        <v>0</v>
      </c>
      <c r="S14" s="3" t="str">
        <f t="shared" si="0"/>
        <v>کاوه بابا احمدی</v>
      </c>
      <c r="T14" s="4">
        <f t="shared" si="1"/>
        <v>766666.66666666674</v>
      </c>
    </row>
    <row r="15" spans="1:20" ht="27" customHeight="1" x14ac:dyDescent="0.25">
      <c r="A15" s="6">
        <v>6</v>
      </c>
      <c r="B15" s="10"/>
      <c r="C15" s="10"/>
      <c r="D15" s="11"/>
      <c r="E15" s="10"/>
      <c r="F15" s="10"/>
      <c r="G15" s="10"/>
      <c r="H15" s="12"/>
      <c r="I15" s="12"/>
      <c r="J15" s="12">
        <f t="shared" si="2"/>
        <v>0</v>
      </c>
      <c r="K15" s="12">
        <f>IF(I15&gt;0,F7,0)/30</f>
        <v>0</v>
      </c>
      <c r="L15" s="12">
        <f>IF(I15&gt;0,E7,0)/30</f>
        <v>0</v>
      </c>
      <c r="M15" s="12">
        <f>IF(AND(F15=1, I15&gt;0),H7,0)/30</f>
        <v>0</v>
      </c>
      <c r="N15" s="12">
        <f>G7*G15/30</f>
        <v>0</v>
      </c>
      <c r="O15" s="12">
        <f>IF(E15=1,H15+H15*J7/100+I7,0)</f>
        <v>0</v>
      </c>
      <c r="P15" s="12">
        <v>0</v>
      </c>
      <c r="S15" s="3" t="str">
        <f t="shared" si="0"/>
        <v xml:space="preserve"> </v>
      </c>
      <c r="T15" s="4">
        <f t="shared" si="1"/>
        <v>0</v>
      </c>
    </row>
    <row r="16" spans="1:20" ht="27" customHeight="1" x14ac:dyDescent="0.25">
      <c r="A16" s="6">
        <v>7</v>
      </c>
      <c r="B16" s="7"/>
      <c r="C16" s="7"/>
      <c r="D16" s="8"/>
      <c r="E16" s="7"/>
      <c r="F16" s="7"/>
      <c r="G16" s="7"/>
      <c r="H16" s="9"/>
      <c r="I16" s="9"/>
      <c r="J16" s="9">
        <f t="shared" si="2"/>
        <v>0</v>
      </c>
      <c r="K16" s="9">
        <f>IF(I16&gt;0,F7,0)/30</f>
        <v>0</v>
      </c>
      <c r="L16" s="9">
        <f>IF(I16&gt;0,E7,0)/30</f>
        <v>0</v>
      </c>
      <c r="M16" s="9">
        <f>IF(AND(F16=1, I16&gt;0),H7,0)/30</f>
        <v>0</v>
      </c>
      <c r="N16" s="9">
        <f>G7*G16/30</f>
        <v>0</v>
      </c>
      <c r="O16" s="9">
        <f>IF(E16=1,H16+H16*J7/100+I7,0)</f>
        <v>0</v>
      </c>
      <c r="P16" s="9">
        <v>0</v>
      </c>
      <c r="S16" s="3" t="str">
        <f t="shared" si="0"/>
        <v xml:space="preserve"> </v>
      </c>
      <c r="T16" s="4">
        <f t="shared" si="1"/>
        <v>0</v>
      </c>
    </row>
    <row r="17" spans="1:20" ht="27" customHeight="1" x14ac:dyDescent="0.25">
      <c r="A17" s="6">
        <v>8</v>
      </c>
      <c r="B17" s="10"/>
      <c r="C17" s="10"/>
      <c r="D17" s="11"/>
      <c r="E17" s="10"/>
      <c r="F17" s="10"/>
      <c r="G17" s="10"/>
      <c r="H17" s="12"/>
      <c r="I17" s="12"/>
      <c r="J17" s="12">
        <f t="shared" si="2"/>
        <v>0</v>
      </c>
      <c r="K17" s="12">
        <f>IF(I17&gt;0,F7,0)/30</f>
        <v>0</v>
      </c>
      <c r="L17" s="12">
        <f>IF(I17&gt;0,E7,0)/30</f>
        <v>0</v>
      </c>
      <c r="M17" s="12">
        <f>IF(AND(F17=1, I17&gt;0),H7,0)/30</f>
        <v>0</v>
      </c>
      <c r="N17" s="12">
        <f>G7*G17/30</f>
        <v>0</v>
      </c>
      <c r="O17" s="12">
        <f>IF(E17=1,H17+H17*J7/100+I7,0)</f>
        <v>0</v>
      </c>
      <c r="P17" s="12">
        <v>0</v>
      </c>
      <c r="S17" s="3" t="str">
        <f t="shared" si="0"/>
        <v xml:space="preserve"> </v>
      </c>
      <c r="T17" s="4">
        <f t="shared" si="1"/>
        <v>0</v>
      </c>
    </row>
    <row r="18" spans="1:20" ht="27" customHeight="1" x14ac:dyDescent="0.25">
      <c r="A18" s="6">
        <v>9</v>
      </c>
      <c r="B18" s="7"/>
      <c r="C18" s="7"/>
      <c r="D18" s="8"/>
      <c r="E18" s="7"/>
      <c r="F18" s="7"/>
      <c r="G18" s="7"/>
      <c r="H18" s="9"/>
      <c r="I18" s="9"/>
      <c r="J18" s="9">
        <f t="shared" si="2"/>
        <v>0</v>
      </c>
      <c r="K18" s="9">
        <f>IF(I18&gt;0,F7,0)/30</f>
        <v>0</v>
      </c>
      <c r="L18" s="9">
        <f>IF(I18&gt;0,E7,0)/30</f>
        <v>0</v>
      </c>
      <c r="M18" s="9">
        <f>IF(AND(F18=1, I18&gt;0),H7,0)/30</f>
        <v>0</v>
      </c>
      <c r="N18" s="9">
        <f>G7*G18/30</f>
        <v>0</v>
      </c>
      <c r="O18" s="9">
        <f>IF(E18=1,H18+H18*J7/100+I7,0)</f>
        <v>0</v>
      </c>
      <c r="P18" s="9">
        <v>0</v>
      </c>
      <c r="S18" s="3" t="str">
        <f t="shared" si="0"/>
        <v xml:space="preserve"> </v>
      </c>
      <c r="T18" s="4">
        <f t="shared" si="1"/>
        <v>0</v>
      </c>
    </row>
    <row r="19" spans="1:20" ht="27" customHeight="1" x14ac:dyDescent="0.25">
      <c r="A19" s="6">
        <v>10</v>
      </c>
      <c r="B19" s="10"/>
      <c r="C19" s="10"/>
      <c r="D19" s="11"/>
      <c r="E19" s="10"/>
      <c r="F19" s="10"/>
      <c r="G19" s="10"/>
      <c r="H19" s="12"/>
      <c r="I19" s="12"/>
      <c r="J19" s="12">
        <f t="shared" si="2"/>
        <v>0</v>
      </c>
      <c r="K19" s="12">
        <f>IF(I19&gt;0,F7,0)/30</f>
        <v>0</v>
      </c>
      <c r="L19" s="12">
        <f>IF(I19&gt;0,E7,0)/30</f>
        <v>0</v>
      </c>
      <c r="M19" s="12">
        <f>IF(AND(F19=1, I19&gt;0),H7,0)/30</f>
        <v>0</v>
      </c>
      <c r="N19" s="12">
        <f>G7*G19/30</f>
        <v>0</v>
      </c>
      <c r="O19" s="12">
        <f>IF(E19=1,H19+H19*J7/100+I7,0)</f>
        <v>0</v>
      </c>
      <c r="P19" s="12">
        <v>0</v>
      </c>
      <c r="S19" s="3" t="str">
        <f t="shared" si="0"/>
        <v xml:space="preserve"> </v>
      </c>
      <c r="T19" s="4">
        <f t="shared" si="1"/>
        <v>0</v>
      </c>
    </row>
    <row r="20" spans="1:20" x14ac:dyDescent="0.25">
      <c r="P20" s="5"/>
    </row>
  </sheetData>
  <sheetProtection algorithmName="SHA-512" hashValue="Ge46WoIsu5AxZ5mbJNC2WOJ8DP6DsH5oMkxVwpMVr+VIQ1xYClvF9JLdj633vnsI3Fvs8WZaj6EddVMVsQRNjg==" saltValue="3bA7fY+n3gG/6mXHlFEd5Q==" spinCount="100000" sheet="1" objects="1" scenarios="1"/>
  <protectedRanges>
    <protectedRange algorithmName="SHA-512" hashValue="WG2Dtse7yGvdR4rnsSK725yzrZ01sWonCkaIMFNbkvE6FLhZPPFShqQf97EV0P5C65CPVUrUBbiReubN6ZU5Pw==" saltValue="h2R/qU7xiXOiKhCcMiMAyg==" spinCount="100000" sqref="P10:P19" name="Range2"/>
    <protectedRange algorithmName="SHA-512" hashValue="AS0Vq3GsRqc97EgQqeKVnyJErTHFLCVCJmS5hDrwaCIDmYoj1TJ6kIKVyUz0aA/JwC7XxuZ9zXvv7NQUslPHfg==" saltValue="sVyoC6sg70JqVljPg4md5g==" spinCount="100000" sqref="B10:H19" name="Range1"/>
  </protectedRanges>
  <mergeCells count="15">
    <mergeCell ref="A8:P8"/>
    <mergeCell ref="M4:P4"/>
    <mergeCell ref="A2:L2"/>
    <mergeCell ref="A1:G1"/>
    <mergeCell ref="H1:L1"/>
    <mergeCell ref="D4:E4"/>
    <mergeCell ref="F4:G4"/>
    <mergeCell ref="H4:I4"/>
    <mergeCell ref="J4:K4"/>
    <mergeCell ref="B6:C7"/>
    <mergeCell ref="A3:L3"/>
    <mergeCell ref="A5:L5"/>
    <mergeCell ref="A6:A7"/>
    <mergeCell ref="K6:L7"/>
    <mergeCell ref="A4:C4"/>
  </mergeCells>
  <hyperlinks>
    <hyperlink ref="A4:C4" r:id="rId1" display="لیموناد جامع ترین پلتفرم آموزش ویدیویی" xr:uid="{C3D355B0-3C60-4CAA-BEB3-A4AC52D8831D}"/>
    <hyperlink ref="D4:E4" r:id="rId2" display="آموزش حسابداری" xr:uid="{51390610-17A0-4E75-9A22-AC0CFFBFCE15}"/>
    <hyperlink ref="J4:K4" r:id="rId3" display="آموزش اکسل" xr:uid="{B13FFCA7-EB20-4F52-9D2D-43C6C4DFABE3}"/>
    <hyperlink ref="F4:G4" r:id="rId4" display="آموزش نرم افزارهای مالی" xr:uid="{09012E84-F3BB-45A9-87B4-31E05D0D242E}"/>
    <hyperlink ref="H4:I4" r:id="rId5" display="آموزش کسب کار" xr:uid="{D01007ED-61AE-428D-8742-D485E85B3DCC}"/>
    <hyperlink ref="L4" r:id="rId6" xr:uid="{BD4CAC5B-76DB-443D-8CF5-B2592B930C3E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21"/>
  <sheetViews>
    <sheetView rightToLeft="1" view="pageBreakPreview" topLeftCell="H5" zoomScaleNormal="100" zoomScaleSheetLayoutView="100" workbookViewId="0">
      <selection activeCell="K12" sqref="K12"/>
    </sheetView>
  </sheetViews>
  <sheetFormatPr defaultColWidth="9" defaultRowHeight="17.25" x14ac:dyDescent="0.25"/>
  <cols>
    <col min="1" max="1" width="6.5703125" style="16" customWidth="1"/>
    <col min="2" max="2" width="18.28515625" style="16" customWidth="1"/>
    <col min="3" max="3" width="7.85546875" style="16" bestFit="1" customWidth="1"/>
    <col min="4" max="10" width="14.42578125" style="86" customWidth="1"/>
    <col min="11" max="11" width="7.85546875" style="86" bestFit="1" customWidth="1"/>
    <col min="12" max="12" width="14.42578125" style="86" customWidth="1"/>
    <col min="13" max="14" width="5.7109375" style="86" customWidth="1"/>
    <col min="15" max="15" width="14.42578125" style="86" customWidth="1"/>
    <col min="16" max="16" width="15.7109375" style="16" customWidth="1"/>
    <col min="17" max="19" width="14.42578125" style="16" customWidth="1"/>
    <col min="20" max="20" width="6" style="86" customWidth="1"/>
    <col min="21" max="21" width="6" style="16" customWidth="1"/>
    <col min="22" max="23" width="14.42578125" style="16" customWidth="1"/>
    <col min="24" max="24" width="15.7109375" style="16" customWidth="1"/>
    <col min="25" max="25" width="10.140625" style="16" customWidth="1"/>
    <col min="26" max="26" width="15.7109375" style="16" customWidth="1"/>
    <col min="27" max="27" width="18.42578125" style="16" bestFit="1" customWidth="1"/>
    <col min="28" max="16384" width="9" style="16"/>
  </cols>
  <sheetData>
    <row r="1" spans="1:27" s="13" customFormat="1" ht="24" x14ac:dyDescent="0.25">
      <c r="A1" s="153" t="s">
        <v>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7" s="13" customFormat="1" ht="24" x14ac:dyDescent="0.25">
      <c r="A2" s="153" t="s">
        <v>23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 t="s">
        <v>25</v>
      </c>
      <c r="Y2" s="153"/>
      <c r="Z2" s="153"/>
    </row>
    <row r="3" spans="1:27" s="14" customFormat="1" ht="19.5" x14ac:dyDescent="0.25">
      <c r="A3" s="163"/>
      <c r="B3" s="163"/>
      <c r="C3" s="20" t="s">
        <v>58</v>
      </c>
      <c r="D3" s="157"/>
      <c r="E3" s="158"/>
      <c r="F3" s="158"/>
      <c r="G3" s="158"/>
      <c r="H3" s="158"/>
      <c r="I3" s="158"/>
      <c r="J3" s="159"/>
      <c r="K3" s="20" t="s">
        <v>58</v>
      </c>
      <c r="L3" s="75"/>
      <c r="M3" s="156" t="s">
        <v>58</v>
      </c>
      <c r="N3" s="156"/>
      <c r="O3" s="155"/>
      <c r="P3" s="155"/>
      <c r="Q3" s="155"/>
      <c r="R3" s="155"/>
      <c r="S3" s="160" t="s">
        <v>58</v>
      </c>
      <c r="T3" s="161"/>
      <c r="U3" s="162"/>
      <c r="V3" s="21"/>
      <c r="W3" s="20" t="s">
        <v>58</v>
      </c>
      <c r="X3" s="20" t="s">
        <v>65</v>
      </c>
      <c r="Y3" s="20" t="s">
        <v>24</v>
      </c>
      <c r="Z3" s="20">
        <v>1403</v>
      </c>
    </row>
    <row r="4" spans="1:27" s="14" customFormat="1" ht="19.5" x14ac:dyDescent="0.25">
      <c r="A4" s="140" t="s">
        <v>26</v>
      </c>
      <c r="B4" s="142" t="s">
        <v>4</v>
      </c>
      <c r="C4" s="142" t="s">
        <v>5</v>
      </c>
      <c r="D4" s="148" t="s">
        <v>16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6" t="s">
        <v>8</v>
      </c>
      <c r="Q4" s="170" t="s">
        <v>22</v>
      </c>
      <c r="R4" s="170"/>
      <c r="S4" s="170"/>
      <c r="T4" s="170"/>
      <c r="U4" s="170"/>
      <c r="V4" s="170"/>
      <c r="W4" s="170"/>
      <c r="X4" s="164" t="s">
        <v>19</v>
      </c>
      <c r="Y4" s="166" t="s">
        <v>20</v>
      </c>
      <c r="Z4" s="168" t="s">
        <v>21</v>
      </c>
      <c r="AA4" s="150" t="s">
        <v>94</v>
      </c>
    </row>
    <row r="5" spans="1:27" s="14" customFormat="1" ht="19.5" x14ac:dyDescent="0.25">
      <c r="A5" s="141"/>
      <c r="B5" s="143"/>
      <c r="C5" s="143"/>
      <c r="D5" s="137" t="s">
        <v>6</v>
      </c>
      <c r="E5" s="137" t="s">
        <v>91</v>
      </c>
      <c r="F5" s="137" t="s">
        <v>3</v>
      </c>
      <c r="G5" s="137" t="s">
        <v>82</v>
      </c>
      <c r="H5" s="137" t="s">
        <v>83</v>
      </c>
      <c r="I5" s="149" t="s">
        <v>78</v>
      </c>
      <c r="J5" s="137" t="s">
        <v>10</v>
      </c>
      <c r="K5" s="138" t="s">
        <v>92</v>
      </c>
      <c r="L5" s="139"/>
      <c r="M5" s="137" t="s">
        <v>7</v>
      </c>
      <c r="N5" s="137"/>
      <c r="O5" s="137"/>
      <c r="P5" s="147"/>
      <c r="Q5" s="145" t="s">
        <v>13</v>
      </c>
      <c r="R5" s="145" t="s">
        <v>14</v>
      </c>
      <c r="S5" s="145" t="s">
        <v>15</v>
      </c>
      <c r="T5" s="144" t="s">
        <v>17</v>
      </c>
      <c r="U5" s="144"/>
      <c r="V5" s="144"/>
      <c r="W5" s="144" t="s">
        <v>18</v>
      </c>
      <c r="X5" s="165"/>
      <c r="Y5" s="167"/>
      <c r="Z5" s="169"/>
      <c r="AA5" s="150"/>
    </row>
    <row r="6" spans="1:27" s="14" customFormat="1" ht="19.5" x14ac:dyDescent="0.25">
      <c r="A6" s="141"/>
      <c r="B6" s="143"/>
      <c r="C6" s="143"/>
      <c r="D6" s="137"/>
      <c r="E6" s="137"/>
      <c r="F6" s="137"/>
      <c r="G6" s="137"/>
      <c r="H6" s="137"/>
      <c r="I6" s="148"/>
      <c r="J6" s="137"/>
      <c r="K6" s="19" t="s">
        <v>93</v>
      </c>
      <c r="L6" s="19" t="s">
        <v>12</v>
      </c>
      <c r="M6" s="19" t="s">
        <v>29</v>
      </c>
      <c r="N6" s="19" t="s">
        <v>11</v>
      </c>
      <c r="O6" s="19" t="s">
        <v>12</v>
      </c>
      <c r="P6" s="147"/>
      <c r="Q6" s="145"/>
      <c r="R6" s="145"/>
      <c r="S6" s="145"/>
      <c r="T6" s="15" t="s">
        <v>29</v>
      </c>
      <c r="U6" s="15" t="s">
        <v>11</v>
      </c>
      <c r="V6" s="15" t="s">
        <v>12</v>
      </c>
      <c r="W6" s="144"/>
      <c r="X6" s="165"/>
      <c r="Y6" s="167"/>
      <c r="Z6" s="169"/>
      <c r="AA6" s="151"/>
    </row>
    <row r="7" spans="1:27" ht="24.6" customHeight="1" x14ac:dyDescent="0.25">
      <c r="A7" s="87">
        <v>1</v>
      </c>
      <c r="B7" s="88" t="str">
        <f>VLOOKUP(A7,قرارداد!A:S,19,0)</f>
        <v>علی حسینی</v>
      </c>
      <c r="C7" s="89">
        <v>31</v>
      </c>
      <c r="D7" s="17">
        <f>((VLOOKUP(A7,قرارداد!A:J,10,0)))*C7</f>
        <v>74050568</v>
      </c>
      <c r="E7" s="17">
        <f>(VLOOKUP(A7,قرارداد!A:K,11,0))*IF(C7&gt;28,30,C7)</f>
        <v>9000000</v>
      </c>
      <c r="F7" s="17">
        <f>(VLOOKUP(A7,قرارداد!A:L,12,0))*IF(C7&gt;28,30,C7)</f>
        <v>14000000</v>
      </c>
      <c r="G7" s="17">
        <f>(VLOOKUP(A7,قرارداد!A:M,13,0))*IF(C7&gt;28,30,C7)</f>
        <v>5000000</v>
      </c>
      <c r="H7" s="17">
        <f>(VLOOKUP(A7,قرارداد!A:N,14,0))*IF(C7&gt;28,30,C7)</f>
        <v>14332368</v>
      </c>
      <c r="I7" s="17">
        <f>(VLOOKUP(A7,قرارداد!A:O,15,0))*C7</f>
        <v>2434740</v>
      </c>
      <c r="J7" s="17">
        <f>(VLOOKUP(A7,قرارداد!A:P,16,0))*C7</f>
        <v>0</v>
      </c>
      <c r="K7" s="90">
        <v>1</v>
      </c>
      <c r="L7" s="91">
        <f>(VLOOKUP(A7,قرارداد!A:J,10,0)*K7)</f>
        <v>2388728</v>
      </c>
      <c r="M7" s="92">
        <v>0</v>
      </c>
      <c r="N7" s="90">
        <v>1</v>
      </c>
      <c r="O7" s="93">
        <f>((VLOOKUP(A7,قرارداد!A:J,10,0)/7.33)+(VLOOKUP(A7,قرارداد!A:J,10,0)/7.33)*40/100)*(N7+(M7/60))</f>
        <v>456237.27148703951</v>
      </c>
      <c r="P7" s="94">
        <f>D7+H7+I7+J7+O7+E7+F7+G7+L7</f>
        <v>121662641.27148704</v>
      </c>
      <c r="Q7" s="17">
        <f>AA7*7/100</f>
        <v>7345908.1690040939</v>
      </c>
      <c r="R7" s="17">
        <f>VLOOKUP(A7,'جدول مالیات'!A:K,11,0)</f>
        <v>0</v>
      </c>
      <c r="S7" s="95"/>
      <c r="T7" s="92">
        <v>0</v>
      </c>
      <c r="U7" s="90">
        <v>1</v>
      </c>
      <c r="V7" s="96">
        <f>(قرارداد!J10+قرارداد!O10+قرارداد!P10)/7.33*(U7+(T7/60))</f>
        <v>336598.63574351976</v>
      </c>
      <c r="W7" s="95"/>
      <c r="X7" s="96">
        <f>Q7+R7+S7+V7+W7</f>
        <v>7682506.8047476131</v>
      </c>
      <c r="Y7" s="17">
        <f t="shared" ref="Y7:Y16" si="0">-(P7-X7-Z7)</f>
        <v>-134.4667394310236</v>
      </c>
      <c r="Z7" s="96">
        <f t="shared" ref="Z7:Z16" si="1">ROUND(P7-X7,-3)</f>
        <v>113980000</v>
      </c>
      <c r="AA7" s="17">
        <f>IFERROR(IF((P7-L7-H7)&lt;(قرارداد!D7*30*7),(P7-L7-H7),(قرارداد!D7*7*C7)),0)</f>
        <v>104941545.27148704</v>
      </c>
    </row>
    <row r="8" spans="1:27" ht="24.6" customHeight="1" x14ac:dyDescent="0.25">
      <c r="A8" s="87">
        <v>2</v>
      </c>
      <c r="B8" s="88" t="str">
        <f>VLOOKUP(A8,قرارداد!A:S,19,0)</f>
        <v>احمد تابان</v>
      </c>
      <c r="C8" s="89">
        <v>31</v>
      </c>
      <c r="D8" s="17">
        <f>((VLOOKUP(A8,قرارداد!A:J,10,0)))*C8</f>
        <v>74050568</v>
      </c>
      <c r="E8" s="17">
        <f>(VLOOKUP(A8,قرارداد!A:K,11,0))*IF(C8&gt;28,30,C8)</f>
        <v>9000000</v>
      </c>
      <c r="F8" s="17">
        <f>(VLOOKUP(A8,قرارداد!A:L,12,0))*IF(C8&gt;28,30,C8)</f>
        <v>14000000</v>
      </c>
      <c r="G8" s="17">
        <f>(VLOOKUP(A8,قرارداد!A:M,13,0))*IF(C8&gt;28,30,C8)</f>
        <v>0</v>
      </c>
      <c r="H8" s="17">
        <f>(VLOOKUP(A8,قرارداد!A:N,14,0))*IF(C8&gt;28,30,C8)</f>
        <v>0</v>
      </c>
      <c r="I8" s="17">
        <f>(VLOOKUP(A8,قرارداد!A:O,15,0))*C8</f>
        <v>0</v>
      </c>
      <c r="J8" s="17">
        <f>(VLOOKUP(A8,قرارداد!A:P,16,0))*C8</f>
        <v>0</v>
      </c>
      <c r="K8" s="90">
        <v>50</v>
      </c>
      <c r="L8" s="91">
        <f>(VLOOKUP(A8,قرارداد!A:J,10,0)*K8)</f>
        <v>119436400</v>
      </c>
      <c r="M8" s="92">
        <v>0</v>
      </c>
      <c r="N8" s="90">
        <v>5</v>
      </c>
      <c r="O8" s="93">
        <f>((VLOOKUP(A8,قرارداد!A:J,10,0)/7.33)+(VLOOKUP(A8,قرارداد!A:J,10,0)/7.33)*40/100)*(N8+(M8/60))</f>
        <v>2281186.3574351976</v>
      </c>
      <c r="P8" s="94">
        <f t="shared" ref="P8:P16" si="2">D8+H8+I8+J8+O8+E8+F8+G8+L8</f>
        <v>218768154.3574352</v>
      </c>
      <c r="Q8" s="17">
        <f t="shared" ref="Q8:Q16" si="3">AA8*7/100</f>
        <v>6953222.8050204637</v>
      </c>
      <c r="R8" s="17">
        <f>VLOOKUP(A8,'جدول مالیات'!A:K,11,0)</f>
        <v>0</v>
      </c>
      <c r="S8" s="95"/>
      <c r="T8" s="92">
        <v>0</v>
      </c>
      <c r="U8" s="90">
        <v>0</v>
      </c>
      <c r="V8" s="96">
        <f>(قرارداد!J11+قرارداد!O11+قرارداد!P11)/7.33*(U8+(T8/60))</f>
        <v>0</v>
      </c>
      <c r="W8" s="95"/>
      <c r="X8" s="96">
        <f t="shared" ref="X8:X16" si="4">Q8+R8+S8+V8+W8</f>
        <v>6953222.8050204637</v>
      </c>
      <c r="Y8" s="17">
        <f t="shared" si="0"/>
        <v>68.447585254907608</v>
      </c>
      <c r="Z8" s="96">
        <f t="shared" si="1"/>
        <v>211815000</v>
      </c>
      <c r="AA8" s="17">
        <f>IFERROR(IF((P8-L8-H8)&lt;(قرارداد!D7*30*7),(P8-L8-H8),(قرارداد!D7*7*C8)),0)</f>
        <v>99331754.357435197</v>
      </c>
    </row>
    <row r="9" spans="1:27" ht="24.6" customHeight="1" x14ac:dyDescent="0.25">
      <c r="A9" s="87">
        <v>3</v>
      </c>
      <c r="B9" s="88" t="str">
        <f>VLOOKUP(A9,قرارداد!A:S,19,0)</f>
        <v>مریم  صدر</v>
      </c>
      <c r="C9" s="89">
        <v>31</v>
      </c>
      <c r="D9" s="17">
        <f>((VLOOKUP(A9,قرارداد!A:J,10,0)))*C9</f>
        <v>74050568</v>
      </c>
      <c r="E9" s="17">
        <f>(VLOOKUP(A9,قرارداد!A:K,11,0))*IF(C9&gt;28,30,C9)</f>
        <v>9000000</v>
      </c>
      <c r="F9" s="17">
        <f>(VLOOKUP(A9,قرارداد!A:L,12,0))*IF(C9&gt;28,30,C9)</f>
        <v>14000000</v>
      </c>
      <c r="G9" s="17">
        <f>(VLOOKUP(A9,قرارداد!A:M,13,0))*IF(C9&gt;28,30,C9)</f>
        <v>0</v>
      </c>
      <c r="H9" s="17">
        <f>(VLOOKUP(A9,قرارداد!A:N,14,0))*IF(C9&gt;28,30,C9)</f>
        <v>0</v>
      </c>
      <c r="I9" s="17">
        <f>(VLOOKUP(A9,قرارداد!A:O,15,0))*C9</f>
        <v>2170000</v>
      </c>
      <c r="J9" s="17">
        <f>(VLOOKUP(A9,قرارداد!A:P,16,0))*C9</f>
        <v>0</v>
      </c>
      <c r="K9" s="90">
        <v>1</v>
      </c>
      <c r="L9" s="91">
        <f>(VLOOKUP(A9,قرارداد!A:J,10,0)*K9)</f>
        <v>2388728</v>
      </c>
      <c r="M9" s="92">
        <v>10</v>
      </c>
      <c r="N9" s="90">
        <v>1</v>
      </c>
      <c r="O9" s="93">
        <f>((VLOOKUP(A9,قرارداد!A:J,10,0)/7.33)+(VLOOKUP(A9,قرارداد!A:J,10,0)/7.33)*40/100)*(N9+(M9/60))</f>
        <v>532276.81673487951</v>
      </c>
      <c r="P9" s="94">
        <f t="shared" si="2"/>
        <v>102141572.81673488</v>
      </c>
      <c r="Q9" s="17">
        <f t="shared" si="3"/>
        <v>6982699.1371714417</v>
      </c>
      <c r="R9" s="17">
        <f>VLOOKUP(A9,'جدول مالیات'!A:K,11,0)</f>
        <v>0</v>
      </c>
      <c r="S9" s="95"/>
      <c r="T9" s="92">
        <v>45</v>
      </c>
      <c r="U9" s="90">
        <v>16</v>
      </c>
      <c r="V9" s="96">
        <f>(قرارداد!J12+قرارداد!O12+قرارداد!P12)/7.33*(U9+(T9/60))</f>
        <v>5618512.1418826738</v>
      </c>
      <c r="W9" s="95"/>
      <c r="X9" s="96">
        <f t="shared" si="4"/>
        <v>12601211.279054116</v>
      </c>
      <c r="Y9" s="17">
        <f t="shared" si="0"/>
        <v>-361.53768076002598</v>
      </c>
      <c r="Z9" s="96">
        <f t="shared" si="1"/>
        <v>89540000</v>
      </c>
      <c r="AA9" s="17">
        <f>IFERROR(IF((P9-L9-H9)&lt;(قرارداد!D7*30*7),(P9-L9-H9),(قرارداد!D7*7*C9)),0)</f>
        <v>99752844.81673488</v>
      </c>
    </row>
    <row r="10" spans="1:27" ht="24.6" customHeight="1" x14ac:dyDescent="0.25">
      <c r="A10" s="87">
        <v>4</v>
      </c>
      <c r="B10" s="88" t="str">
        <f>VLOOKUP(A10,قرارداد!A:S,19,0)</f>
        <v>مسعود کمانی</v>
      </c>
      <c r="C10" s="89">
        <v>31</v>
      </c>
      <c r="D10" s="17">
        <f>((VLOOKUP(A10,قرارداد!A:J,10,0)))*C10</f>
        <v>74050568</v>
      </c>
      <c r="E10" s="17">
        <f>(VLOOKUP(A10,قرارداد!A:K,11,0))*IF(C10&gt;28,30,C10)</f>
        <v>9000000</v>
      </c>
      <c r="F10" s="17">
        <f>(VLOOKUP(A10,قرارداد!A:L,12,0))*IF(C10&gt;28,30,C10)</f>
        <v>14000000</v>
      </c>
      <c r="G10" s="17">
        <f>(VLOOKUP(A10,قرارداد!A:M,13,0))*IF(C10&gt;28,30,C10)</f>
        <v>5000000</v>
      </c>
      <c r="H10" s="17">
        <f>(VLOOKUP(A10,قرارداد!A:N,14,0))*IF(C10&gt;28,30,C10)</f>
        <v>7166184</v>
      </c>
      <c r="I10" s="17">
        <f>(VLOOKUP(A10,قرارداد!A:O,15,0))*C10</f>
        <v>2170000</v>
      </c>
      <c r="J10" s="17">
        <f>(VLOOKUP(A10,قرارداد!A:P,16,0))*C10</f>
        <v>0</v>
      </c>
      <c r="K10" s="90"/>
      <c r="L10" s="91">
        <f>(VLOOKUP(A10,قرارداد!A:J,10,0)*K10)</f>
        <v>0</v>
      </c>
      <c r="M10" s="92">
        <v>0</v>
      </c>
      <c r="N10" s="90">
        <v>0</v>
      </c>
      <c r="O10" s="93">
        <f>((VLOOKUP(A10,قرارداد!A:J,10,0)/7.33)+(VLOOKUP(A10,قرارداد!A:J,10,0)/7.33)*40/100)*(N10+(M10/60))</f>
        <v>0</v>
      </c>
      <c r="P10" s="94">
        <f t="shared" si="2"/>
        <v>111386752</v>
      </c>
      <c r="Q10" s="17">
        <f t="shared" si="3"/>
        <v>7295439.7599999998</v>
      </c>
      <c r="R10" s="17">
        <f>VLOOKUP(A10,'جدول مالیات'!A:K,11,0)</f>
        <v>0</v>
      </c>
      <c r="S10" s="95"/>
      <c r="T10" s="92">
        <v>0</v>
      </c>
      <c r="U10" s="90">
        <v>1</v>
      </c>
      <c r="V10" s="96">
        <f>(قرارداد!J13+قرارداد!O13+قرارداد!P13)/7.33*(U10+(T10/60))</f>
        <v>335433.56070941337</v>
      </c>
      <c r="W10" s="95"/>
      <c r="X10" s="96">
        <f t="shared" si="4"/>
        <v>7630873.3207094129</v>
      </c>
      <c r="Y10" s="17">
        <f t="shared" si="0"/>
        <v>121.32070940732956</v>
      </c>
      <c r="Z10" s="96">
        <f t="shared" si="1"/>
        <v>103756000</v>
      </c>
      <c r="AA10" s="17">
        <f>IFERROR(IF((P10-L10-H10)&lt;(قرارداد!D7*30*7),(P10-L10-H10),(قرارداد!D7*7*C10)),0)</f>
        <v>104220568</v>
      </c>
    </row>
    <row r="11" spans="1:27" ht="24.6" customHeight="1" x14ac:dyDescent="0.25">
      <c r="A11" s="87">
        <v>5</v>
      </c>
      <c r="B11" s="88" t="str">
        <f>VLOOKUP(A11,قرارداد!A:S,19,0)</f>
        <v>کاوه بابا احمدی</v>
      </c>
      <c r="C11" s="89">
        <v>31</v>
      </c>
      <c r="D11" s="17">
        <f>((VLOOKUP(A11,قرارداد!A:J,10,0)))*C11</f>
        <v>74050568</v>
      </c>
      <c r="E11" s="17">
        <f>(VLOOKUP(A11,قرارداد!A:K,11,0))*IF(C11&gt;28,30,C11)</f>
        <v>9000000</v>
      </c>
      <c r="F11" s="17">
        <f>(VLOOKUP(A11,قرارداد!A:L,12,0))*IF(C11&gt;28,30,C11)</f>
        <v>14000000</v>
      </c>
      <c r="G11" s="17">
        <f>(VLOOKUP(A11,قرارداد!A:M,13,0))*IF(C11&gt;28,30,C11)</f>
        <v>5000000</v>
      </c>
      <c r="H11" s="17">
        <f>(VLOOKUP(A11,قرارداد!A:N,14,0))*IF(C11&gt;28,30,C11)</f>
        <v>14332368</v>
      </c>
      <c r="I11" s="17">
        <f>(VLOOKUP(A11,قرارداد!A:O,15,0))*C11</f>
        <v>2434740</v>
      </c>
      <c r="J11" s="17">
        <f>(VLOOKUP(A11,قرارداد!A:P,16,0))*C11</f>
        <v>0</v>
      </c>
      <c r="K11" s="90">
        <v>100</v>
      </c>
      <c r="L11" s="91">
        <f>(VLOOKUP(A11,قرارداد!A:J,10,0)*K11)</f>
        <v>238872800</v>
      </c>
      <c r="M11" s="92">
        <v>0</v>
      </c>
      <c r="N11" s="90">
        <v>0</v>
      </c>
      <c r="O11" s="93">
        <f>((VLOOKUP(A11,قرارداد!A:J,10,0)/7.33)+(VLOOKUP(A11,قرارداد!A:J,10,0)/7.33)*40/100)*(N11+(M11/60))</f>
        <v>0</v>
      </c>
      <c r="P11" s="94">
        <f t="shared" si="2"/>
        <v>357690476</v>
      </c>
      <c r="Q11" s="17">
        <f t="shared" si="3"/>
        <v>7313971.5599999996</v>
      </c>
      <c r="R11" s="17">
        <f>VLOOKUP(A11,'جدول مالیات'!A:K,11,0)</f>
        <v>0</v>
      </c>
      <c r="S11" s="95"/>
      <c r="T11" s="92">
        <v>0</v>
      </c>
      <c r="U11" s="90">
        <v>1</v>
      </c>
      <c r="V11" s="96">
        <f>(قرارداد!J14+قرارداد!O14+قرارداد!P14)/7.33*(U11+(T11/60))</f>
        <v>336598.63574351976</v>
      </c>
      <c r="W11" s="95"/>
      <c r="X11" s="96">
        <f t="shared" si="4"/>
        <v>7650570.1957435198</v>
      </c>
      <c r="Y11" s="17">
        <f t="shared" si="0"/>
        <v>94.195743501186371</v>
      </c>
      <c r="Z11" s="96">
        <f t="shared" si="1"/>
        <v>350040000</v>
      </c>
      <c r="AA11" s="17">
        <f>IFERROR(IF((P11-L11-H11)&lt;(قرارداد!D7*30*7),(P11-L11-H11),(قرارداد!D7*7*C11)),0)</f>
        <v>104485308</v>
      </c>
    </row>
    <row r="12" spans="1:27" ht="24.6" customHeight="1" x14ac:dyDescent="0.25">
      <c r="A12" s="87">
        <v>6</v>
      </c>
      <c r="B12" s="88" t="str">
        <f>VLOOKUP(A12,قرارداد!A:S,19,0)</f>
        <v xml:space="preserve"> </v>
      </c>
      <c r="C12" s="89"/>
      <c r="D12" s="17">
        <f>((VLOOKUP(A12,قرارداد!A:J,10,0)))*C12</f>
        <v>0</v>
      </c>
      <c r="E12" s="17">
        <f>(VLOOKUP(A12,قرارداد!A:K,11,0))*IF(C12&gt;28,30,C12)</f>
        <v>0</v>
      </c>
      <c r="F12" s="17">
        <f>(VLOOKUP(A12,قرارداد!A:L,12,0))*IF(C12&gt;28,30,C12)</f>
        <v>0</v>
      </c>
      <c r="G12" s="17">
        <f>(VLOOKUP(A12,قرارداد!A:M,13,0))*IF(C12&gt;28,30,C12)</f>
        <v>0</v>
      </c>
      <c r="H12" s="17">
        <f>(VLOOKUP(A12,قرارداد!A:N,14,0))*IF(C12&gt;28,30,C12)</f>
        <v>0</v>
      </c>
      <c r="I12" s="17">
        <f>(VLOOKUP(A12,قرارداد!A:O,15,0))*C12</f>
        <v>0</v>
      </c>
      <c r="J12" s="17">
        <f>(VLOOKUP(A12,قرارداد!A:P,16,0))*C12</f>
        <v>0</v>
      </c>
      <c r="K12" s="90"/>
      <c r="L12" s="91">
        <f>(VLOOKUP(A12,قرارداد!A:J,10,0)*K12)</f>
        <v>0</v>
      </c>
      <c r="M12" s="92">
        <v>0</v>
      </c>
      <c r="N12" s="90">
        <v>0</v>
      </c>
      <c r="O12" s="93">
        <f>((VLOOKUP(A12,قرارداد!A:J,10,0)/7.33)+(VLOOKUP(A12,قرارداد!A:J,10,0)/7.33)*40/100)*(N12+(M12/60))</f>
        <v>0</v>
      </c>
      <c r="P12" s="94">
        <f t="shared" si="2"/>
        <v>0</v>
      </c>
      <c r="Q12" s="17">
        <f t="shared" si="3"/>
        <v>0</v>
      </c>
      <c r="R12" s="17">
        <f>VLOOKUP(A12,'جدول مالیات'!A:K,11,0)</f>
        <v>0</v>
      </c>
      <c r="S12" s="95"/>
      <c r="T12" s="92">
        <v>0</v>
      </c>
      <c r="U12" s="90">
        <v>0</v>
      </c>
      <c r="V12" s="96">
        <f>(قرارداد!J15+قرارداد!O15+قرارداد!P15)/7.33*(U12+(T12/60))</f>
        <v>0</v>
      </c>
      <c r="W12" s="95"/>
      <c r="X12" s="96">
        <f t="shared" si="4"/>
        <v>0</v>
      </c>
      <c r="Y12" s="17">
        <f t="shared" si="0"/>
        <v>0</v>
      </c>
      <c r="Z12" s="96">
        <f t="shared" si="1"/>
        <v>0</v>
      </c>
      <c r="AA12" s="17">
        <f>IFERROR(IF((P12-L12-H12)&lt;(قرارداد!D7*30*7),(P12-L12-H12),(قرارداد!D7*7*C12)),0)</f>
        <v>0</v>
      </c>
    </row>
    <row r="13" spans="1:27" ht="24.6" customHeight="1" x14ac:dyDescent="0.25">
      <c r="A13" s="87">
        <v>7</v>
      </c>
      <c r="B13" s="88" t="str">
        <f>VLOOKUP(A13,قرارداد!A:S,19,0)</f>
        <v xml:space="preserve"> </v>
      </c>
      <c r="C13" s="89"/>
      <c r="D13" s="17">
        <f>((VLOOKUP(A13,قرارداد!A:J,10,0)))*C13</f>
        <v>0</v>
      </c>
      <c r="E13" s="17">
        <f>(VLOOKUP(A13,قرارداد!A:K,11,0))*IF(C13&gt;28,30,C13)</f>
        <v>0</v>
      </c>
      <c r="F13" s="17">
        <f>(VLOOKUP(A13,قرارداد!A:L,12,0))*IF(C13&gt;28,30,C13)</f>
        <v>0</v>
      </c>
      <c r="G13" s="17">
        <f>(VLOOKUP(A13,قرارداد!A:M,13,0))*IF(C13&gt;28,30,C13)</f>
        <v>0</v>
      </c>
      <c r="H13" s="17">
        <f>(VLOOKUP(A13,قرارداد!A:N,14,0))*IF(C13&gt;28,30,C13)</f>
        <v>0</v>
      </c>
      <c r="I13" s="17">
        <f>(VLOOKUP(A13,قرارداد!A:O,15,0))*C13</f>
        <v>0</v>
      </c>
      <c r="J13" s="17">
        <f>(VLOOKUP(A13,قرارداد!A:P,16,0))*C13</f>
        <v>0</v>
      </c>
      <c r="K13" s="90"/>
      <c r="L13" s="91">
        <f>(VLOOKUP(A13,قرارداد!A:J,10,0)*K13)</f>
        <v>0</v>
      </c>
      <c r="M13" s="92">
        <v>0</v>
      </c>
      <c r="N13" s="90">
        <v>0</v>
      </c>
      <c r="O13" s="93">
        <f>((VLOOKUP(A13,قرارداد!A:J,10,0)/7.33)+(VLOOKUP(A13,قرارداد!A:J,10,0)/7.33)*40/100)*(N13+(M13/60))</f>
        <v>0</v>
      </c>
      <c r="P13" s="94">
        <f t="shared" si="2"/>
        <v>0</v>
      </c>
      <c r="Q13" s="17">
        <f t="shared" si="3"/>
        <v>0</v>
      </c>
      <c r="R13" s="17">
        <f>VLOOKUP(A13,'جدول مالیات'!A:K,11,0)</f>
        <v>0</v>
      </c>
      <c r="S13" s="95"/>
      <c r="T13" s="92">
        <v>0</v>
      </c>
      <c r="U13" s="90">
        <v>0</v>
      </c>
      <c r="V13" s="96">
        <f>(قرارداد!J16+قرارداد!O16+قرارداد!P16)/7.33*(U13+(T13/60))</f>
        <v>0</v>
      </c>
      <c r="W13" s="95"/>
      <c r="X13" s="96">
        <f t="shared" si="4"/>
        <v>0</v>
      </c>
      <c r="Y13" s="17">
        <f t="shared" si="0"/>
        <v>0</v>
      </c>
      <c r="Z13" s="96">
        <f t="shared" si="1"/>
        <v>0</v>
      </c>
      <c r="AA13" s="17">
        <f>IFERROR(IF((P13-L13-H13)&lt;(قرارداد!D7*30*7),(P13-L13-H13),(قرارداد!D7*7*C13)),0)</f>
        <v>0</v>
      </c>
    </row>
    <row r="14" spans="1:27" ht="24.6" customHeight="1" x14ac:dyDescent="0.25">
      <c r="A14" s="87">
        <v>8</v>
      </c>
      <c r="B14" s="88" t="str">
        <f>VLOOKUP(A14,قرارداد!A:S,19,0)</f>
        <v xml:space="preserve"> </v>
      </c>
      <c r="C14" s="89"/>
      <c r="D14" s="17">
        <f>((VLOOKUP(A14,قرارداد!A:J,10,0)))*C14</f>
        <v>0</v>
      </c>
      <c r="E14" s="17">
        <f>(VLOOKUP(A14,قرارداد!A:K,11,0))*IF(C14&gt;28,30,C14)</f>
        <v>0</v>
      </c>
      <c r="F14" s="17">
        <f>(VLOOKUP(A14,قرارداد!A:L,12,0))*IF(C14&gt;28,30,C14)</f>
        <v>0</v>
      </c>
      <c r="G14" s="17">
        <f>(VLOOKUP(A14,قرارداد!A:M,13,0))*IF(C14&gt;28,30,C14)</f>
        <v>0</v>
      </c>
      <c r="H14" s="17">
        <f>(VLOOKUP(A14,قرارداد!A:N,14,0))*IF(C14&gt;28,30,C14)</f>
        <v>0</v>
      </c>
      <c r="I14" s="17">
        <f>(VLOOKUP(A14,قرارداد!A:O,15,0))*C14</f>
        <v>0</v>
      </c>
      <c r="J14" s="17">
        <f>(VLOOKUP(A14,قرارداد!A:P,16,0))*C14</f>
        <v>0</v>
      </c>
      <c r="K14" s="90"/>
      <c r="L14" s="91">
        <f>(VLOOKUP(A14,قرارداد!A:J,10,0)*K14)</f>
        <v>0</v>
      </c>
      <c r="M14" s="92">
        <v>0</v>
      </c>
      <c r="N14" s="90">
        <v>0</v>
      </c>
      <c r="O14" s="93">
        <f>((VLOOKUP(A14,قرارداد!A:J,10,0)/7.33)+(VLOOKUP(A14,قرارداد!A:J,10,0)/7.33)*40/100)*(N14+(M14/60))</f>
        <v>0</v>
      </c>
      <c r="P14" s="94">
        <f t="shared" si="2"/>
        <v>0</v>
      </c>
      <c r="Q14" s="17">
        <f t="shared" si="3"/>
        <v>0</v>
      </c>
      <c r="R14" s="17">
        <f>VLOOKUP(A14,'جدول مالیات'!A:K,11,0)</f>
        <v>0</v>
      </c>
      <c r="S14" s="95"/>
      <c r="T14" s="92">
        <v>0</v>
      </c>
      <c r="U14" s="90">
        <v>0</v>
      </c>
      <c r="V14" s="96">
        <f>(قرارداد!J17+قرارداد!O17+قرارداد!P17)/7.33*(U14+(T14/60))</f>
        <v>0</v>
      </c>
      <c r="W14" s="95"/>
      <c r="X14" s="96">
        <f t="shared" si="4"/>
        <v>0</v>
      </c>
      <c r="Y14" s="17">
        <f t="shared" si="0"/>
        <v>0</v>
      </c>
      <c r="Z14" s="96">
        <f t="shared" si="1"/>
        <v>0</v>
      </c>
      <c r="AA14" s="17">
        <f>IFERROR(IF((P14-L14-H14)&lt;(قرارداد!D7*30*7),(P14-L14-H14),(قرارداد!D7*7*C14)),0)</f>
        <v>0</v>
      </c>
    </row>
    <row r="15" spans="1:27" ht="24.6" customHeight="1" x14ac:dyDescent="0.25">
      <c r="A15" s="87">
        <v>9</v>
      </c>
      <c r="B15" s="88" t="str">
        <f>VLOOKUP(A15,قرارداد!A:S,19,0)</f>
        <v xml:space="preserve"> </v>
      </c>
      <c r="C15" s="89"/>
      <c r="D15" s="17">
        <f>((VLOOKUP(A15,قرارداد!A:J,10,0)))*C15</f>
        <v>0</v>
      </c>
      <c r="E15" s="17">
        <f>(VLOOKUP(A15,قرارداد!A:K,11,0))*IF(C15&gt;28,30,C15)</f>
        <v>0</v>
      </c>
      <c r="F15" s="17">
        <f>(VLOOKUP(A15,قرارداد!A:L,12,0))*IF(C15&gt;28,30,C15)</f>
        <v>0</v>
      </c>
      <c r="G15" s="17">
        <f>(VLOOKUP(A15,قرارداد!A:M,13,0))*IF(C15&gt;28,30,C15)</f>
        <v>0</v>
      </c>
      <c r="H15" s="17">
        <f>(VLOOKUP(A15,قرارداد!A:N,14,0))*IF(C15&gt;28,30,C15)</f>
        <v>0</v>
      </c>
      <c r="I15" s="17">
        <f>(VLOOKUP(A15,قرارداد!A:O,15,0))*C15</f>
        <v>0</v>
      </c>
      <c r="J15" s="17">
        <f>(VLOOKUP(A15,قرارداد!A:P,16,0))*C15</f>
        <v>0</v>
      </c>
      <c r="K15" s="90"/>
      <c r="L15" s="91">
        <f>(VLOOKUP(A15,قرارداد!A:J,10,0)*K15)</f>
        <v>0</v>
      </c>
      <c r="M15" s="92">
        <v>0</v>
      </c>
      <c r="N15" s="90">
        <v>0</v>
      </c>
      <c r="O15" s="93">
        <f>((VLOOKUP(A15,قرارداد!A:J,10,0)/7.33)+(VLOOKUP(A15,قرارداد!A:J,10,0)/7.33)*40/100)*(N15+(M15/60))</f>
        <v>0</v>
      </c>
      <c r="P15" s="94">
        <f t="shared" si="2"/>
        <v>0</v>
      </c>
      <c r="Q15" s="17">
        <f t="shared" si="3"/>
        <v>0</v>
      </c>
      <c r="R15" s="17">
        <f>VLOOKUP(A15,'جدول مالیات'!A:K,11,0)</f>
        <v>0</v>
      </c>
      <c r="S15" s="95"/>
      <c r="T15" s="92">
        <v>0</v>
      </c>
      <c r="U15" s="90">
        <v>0</v>
      </c>
      <c r="V15" s="96">
        <f>(قرارداد!J18+قرارداد!O18+قرارداد!P18)/7.33*(U15+(T15/60))</f>
        <v>0</v>
      </c>
      <c r="W15" s="95"/>
      <c r="X15" s="96">
        <f t="shared" si="4"/>
        <v>0</v>
      </c>
      <c r="Y15" s="17">
        <f t="shared" si="0"/>
        <v>0</v>
      </c>
      <c r="Z15" s="96">
        <f t="shared" si="1"/>
        <v>0</v>
      </c>
      <c r="AA15" s="17">
        <f>IFERROR(IF((P15-L15-H15)&lt;(قرارداد!D7*30*7),(P15-L15-H15),(قرارداد!D7*7*C15)),0)</f>
        <v>0</v>
      </c>
    </row>
    <row r="16" spans="1:27" ht="24.6" customHeight="1" x14ac:dyDescent="0.25">
      <c r="A16" s="87">
        <v>10</v>
      </c>
      <c r="B16" s="88" t="str">
        <f>VLOOKUP(A16,قرارداد!A:S,19,0)</f>
        <v xml:space="preserve"> </v>
      </c>
      <c r="C16" s="89"/>
      <c r="D16" s="17">
        <f>((VLOOKUP(A16,قرارداد!A:J,10,0)))*C16</f>
        <v>0</v>
      </c>
      <c r="E16" s="17">
        <f>(VLOOKUP(A16,قرارداد!A:K,11,0))*IF(C16&gt;28,30,C16)</f>
        <v>0</v>
      </c>
      <c r="F16" s="17">
        <f>(VLOOKUP(A16,قرارداد!A:L,12,0))*IF(C16&gt;28,30,C16)</f>
        <v>0</v>
      </c>
      <c r="G16" s="17">
        <f>(VLOOKUP(A16,قرارداد!A:M,13,0))*IF(C16&gt;28,30,C16)</f>
        <v>0</v>
      </c>
      <c r="H16" s="17">
        <f>(VLOOKUP(A16,قرارداد!A:N,14,0))*IF(C16&gt;28,30,C16)</f>
        <v>0</v>
      </c>
      <c r="I16" s="17">
        <f>(VLOOKUP(A16,قرارداد!A:O,15,0))*C16</f>
        <v>0</v>
      </c>
      <c r="J16" s="17">
        <f>(VLOOKUP(A16,قرارداد!A:P,16,0))*C16</f>
        <v>0</v>
      </c>
      <c r="K16" s="90"/>
      <c r="L16" s="91">
        <f>(VLOOKUP(A16,قرارداد!A:J,10,0)*K16)</f>
        <v>0</v>
      </c>
      <c r="M16" s="92">
        <v>0</v>
      </c>
      <c r="N16" s="90">
        <v>0</v>
      </c>
      <c r="O16" s="93">
        <f>((VLOOKUP(A16,قرارداد!A:J,10,0)/7.33)+(VLOOKUP(A16,قرارداد!A:J,10,0)/7.33)*40/100)*(N16+(M16/60))</f>
        <v>0</v>
      </c>
      <c r="P16" s="94">
        <f t="shared" si="2"/>
        <v>0</v>
      </c>
      <c r="Q16" s="17">
        <f t="shared" si="3"/>
        <v>0</v>
      </c>
      <c r="R16" s="17">
        <f>VLOOKUP(A16,'جدول مالیات'!A:K,11,0)</f>
        <v>0</v>
      </c>
      <c r="S16" s="95"/>
      <c r="T16" s="92">
        <v>0</v>
      </c>
      <c r="U16" s="90">
        <v>0</v>
      </c>
      <c r="V16" s="96">
        <f>(قرارداد!J19+قرارداد!O19+قرارداد!P19)/7.33*(U16+(T16/60))</f>
        <v>0</v>
      </c>
      <c r="W16" s="95"/>
      <c r="X16" s="96">
        <f t="shared" si="4"/>
        <v>0</v>
      </c>
      <c r="Y16" s="17">
        <f t="shared" si="0"/>
        <v>0</v>
      </c>
      <c r="Z16" s="96">
        <f t="shared" si="1"/>
        <v>0</v>
      </c>
      <c r="AA16" s="17">
        <f>IFERROR(IF((P16-L16-H16)&lt;(قرارداد!D7*30*7),(P16-L16-H16),(قرارداد!D7*7*C16)),0)</f>
        <v>0</v>
      </c>
    </row>
    <row r="17" spans="1:27" s="97" customFormat="1" ht="24.6" customHeight="1" thickBot="1" x14ac:dyDescent="0.3">
      <c r="A17" s="154" t="s">
        <v>32</v>
      </c>
      <c r="B17" s="154"/>
      <c r="C17" s="18">
        <f t="shared" ref="C17:O17" si="5">SUM(C7:C16)</f>
        <v>155</v>
      </c>
      <c r="D17" s="18">
        <f t="shared" si="5"/>
        <v>370252840</v>
      </c>
      <c r="E17" s="18">
        <f t="shared" si="5"/>
        <v>45000000</v>
      </c>
      <c r="F17" s="18">
        <f t="shared" si="5"/>
        <v>70000000</v>
      </c>
      <c r="G17" s="18">
        <f t="shared" si="5"/>
        <v>15000000</v>
      </c>
      <c r="H17" s="18">
        <f t="shared" si="5"/>
        <v>35830920</v>
      </c>
      <c r="I17" s="18">
        <f t="shared" si="5"/>
        <v>9209480</v>
      </c>
      <c r="J17" s="18">
        <f t="shared" si="5"/>
        <v>0</v>
      </c>
      <c r="K17" s="18">
        <f t="shared" si="5"/>
        <v>152</v>
      </c>
      <c r="L17" s="18">
        <f t="shared" si="5"/>
        <v>363086656</v>
      </c>
      <c r="M17" s="18">
        <f t="shared" si="5"/>
        <v>10</v>
      </c>
      <c r="N17" s="18">
        <f t="shared" si="5"/>
        <v>7</v>
      </c>
      <c r="O17" s="18">
        <f t="shared" si="5"/>
        <v>3269700.4456571164</v>
      </c>
      <c r="P17" s="18">
        <f>SUM(P7:P16)</f>
        <v>911649596.44565713</v>
      </c>
      <c r="Q17" s="18">
        <f t="shared" ref="Q17:Z17" si="6">SUM(Q7:Q16)</f>
        <v>35891241.431195997</v>
      </c>
      <c r="R17" s="18">
        <f>SUM(R7:R16)</f>
        <v>0</v>
      </c>
      <c r="S17" s="18">
        <f t="shared" si="6"/>
        <v>0</v>
      </c>
      <c r="T17" s="18">
        <f>SUM(T7:T16)</f>
        <v>45</v>
      </c>
      <c r="U17" s="18">
        <f>SUM(U7:U16)</f>
        <v>19</v>
      </c>
      <c r="V17" s="18">
        <f t="shared" si="6"/>
        <v>6627142.9740791265</v>
      </c>
      <c r="W17" s="18">
        <f>SUM(W7:W16)</f>
        <v>0</v>
      </c>
      <c r="X17" s="18">
        <f t="shared" si="6"/>
        <v>42518384.405275121</v>
      </c>
      <c r="Y17" s="18">
        <f t="shared" si="6"/>
        <v>-212.04038202762604</v>
      </c>
      <c r="Z17" s="18">
        <f t="shared" si="6"/>
        <v>869131000</v>
      </c>
      <c r="AA17" s="18">
        <f>SUM(AA7:AA16)</f>
        <v>512732020.44565713</v>
      </c>
    </row>
    <row r="18" spans="1:27" s="98" customFormat="1" ht="22.15" customHeight="1" thickTop="1" x14ac:dyDescent="0.25"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9" t="s">
        <v>34</v>
      </c>
      <c r="Q18" s="100">
        <f>AA17*20%</f>
        <v>102546404.08913143</v>
      </c>
      <c r="R18" s="101"/>
      <c r="T18" s="97"/>
    </row>
    <row r="19" spans="1:27" s="98" customFormat="1" ht="22.15" customHeight="1" x14ac:dyDescent="0.25"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9" t="s">
        <v>35</v>
      </c>
      <c r="Q19" s="100">
        <f>AA17*3%</f>
        <v>15381960.613369713</v>
      </c>
      <c r="R19" s="101"/>
      <c r="T19" s="97"/>
    </row>
    <row r="20" spans="1:27" s="98" customFormat="1" ht="22.15" customHeight="1" thickBot="1" x14ac:dyDescent="0.3">
      <c r="D20" s="97"/>
      <c r="E20" s="97"/>
      <c r="F20" s="97"/>
      <c r="G20" s="97"/>
      <c r="H20" s="97"/>
      <c r="I20" s="97"/>
      <c r="J20" s="152" t="s">
        <v>57</v>
      </c>
      <c r="K20" s="152"/>
      <c r="L20" s="152"/>
      <c r="M20" s="152"/>
      <c r="N20" s="152"/>
      <c r="O20" s="100">
        <f>Q18+Q19+P17</f>
        <v>1029577961.1481583</v>
      </c>
      <c r="P20" s="102" t="s">
        <v>36</v>
      </c>
      <c r="Q20" s="103">
        <f>Q17+Q18+Q19</f>
        <v>153819606.13369712</v>
      </c>
      <c r="T20" s="97"/>
    </row>
    <row r="21" spans="1:27" ht="18" thickTop="1" x14ac:dyDescent="0.25"/>
  </sheetData>
  <sheetProtection algorithmName="SHA-512" hashValue="xQAPOeET6pbxewfDBgkXGusHW1h745HFm2j4vdKQEgpoQRHMia+ckHFAM04UprpfE7oroonzrn7+v7/4/rTVtA==" saltValue="7f3KgH2ldjdrv6vLr8T31Q==" spinCount="100000" sheet="1" objects="1" scenarios="1"/>
  <mergeCells count="34">
    <mergeCell ref="AA4:AA6"/>
    <mergeCell ref="J20:N20"/>
    <mergeCell ref="A1:Z1"/>
    <mergeCell ref="X2:Z2"/>
    <mergeCell ref="A2:W2"/>
    <mergeCell ref="A17:B17"/>
    <mergeCell ref="O3:R3"/>
    <mergeCell ref="M3:N3"/>
    <mergeCell ref="D3:J3"/>
    <mergeCell ref="S3:U3"/>
    <mergeCell ref="A3:B3"/>
    <mergeCell ref="W5:W6"/>
    <mergeCell ref="X4:X6"/>
    <mergeCell ref="Y4:Y6"/>
    <mergeCell ref="Z4:Z6"/>
    <mergeCell ref="Q4:W4"/>
    <mergeCell ref="M5:O5"/>
    <mergeCell ref="T5:V5"/>
    <mergeCell ref="R5:R6"/>
    <mergeCell ref="S5:S6"/>
    <mergeCell ref="P4:P6"/>
    <mergeCell ref="Q5:Q6"/>
    <mergeCell ref="D4:O4"/>
    <mergeCell ref="J5:J6"/>
    <mergeCell ref="D5:D6"/>
    <mergeCell ref="H5:H6"/>
    <mergeCell ref="I5:I6"/>
    <mergeCell ref="G5:G6"/>
    <mergeCell ref="E5:E6"/>
    <mergeCell ref="F5:F6"/>
    <mergeCell ref="K5:L5"/>
    <mergeCell ref="A4:A6"/>
    <mergeCell ref="B4:B6"/>
    <mergeCell ref="C4:C6"/>
  </mergeCells>
  <pageMargins left="0.25" right="0.25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5"/>
  <sheetViews>
    <sheetView showGridLines="0" rightToLeft="1"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3.85546875" style="1" bestFit="1" customWidth="1"/>
    <col min="2" max="2" width="14.7109375" style="1" bestFit="1" customWidth="1"/>
    <col min="3" max="4" width="15.140625" style="1" customWidth="1"/>
    <col min="5" max="5" width="15.140625" style="2" customWidth="1"/>
    <col min="6" max="11" width="15.140625" style="1" customWidth="1"/>
    <col min="12" max="16384" width="9.140625" style="1"/>
  </cols>
  <sheetData>
    <row r="1" spans="1:11" ht="33" customHeight="1" x14ac:dyDescent="0.25">
      <c r="A1" s="176" t="s">
        <v>66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28.5" customHeight="1" x14ac:dyDescent="0.25">
      <c r="A2" s="181" t="s">
        <v>27</v>
      </c>
      <c r="B2" s="179" t="s">
        <v>33</v>
      </c>
      <c r="C2" s="179" t="s">
        <v>16</v>
      </c>
      <c r="D2" s="183" t="s">
        <v>59</v>
      </c>
      <c r="E2" s="41" t="s">
        <v>30</v>
      </c>
      <c r="F2" s="42">
        <v>0</v>
      </c>
      <c r="G2" s="42">
        <v>120000001</v>
      </c>
      <c r="H2" s="42">
        <v>165000001</v>
      </c>
      <c r="I2" s="42">
        <v>270000001</v>
      </c>
      <c r="J2" s="42">
        <v>400000001</v>
      </c>
      <c r="K2" s="173" t="s">
        <v>32</v>
      </c>
    </row>
    <row r="3" spans="1:11" ht="28.5" customHeight="1" x14ac:dyDescent="0.25">
      <c r="A3" s="181"/>
      <c r="B3" s="179"/>
      <c r="C3" s="179"/>
      <c r="D3" s="183"/>
      <c r="E3" s="41" t="s">
        <v>31</v>
      </c>
      <c r="F3" s="42">
        <v>120000000</v>
      </c>
      <c r="G3" s="42">
        <v>165000000</v>
      </c>
      <c r="H3" s="42">
        <v>270000000</v>
      </c>
      <c r="I3" s="42">
        <v>400000000</v>
      </c>
      <c r="J3" s="42"/>
      <c r="K3" s="174"/>
    </row>
    <row r="4" spans="1:11" ht="28.5" customHeight="1" thickBot="1" x14ac:dyDescent="0.3">
      <c r="A4" s="182"/>
      <c r="B4" s="180"/>
      <c r="C4" s="180"/>
      <c r="D4" s="184"/>
      <c r="E4" s="43" t="s">
        <v>61</v>
      </c>
      <c r="F4" s="44">
        <v>0</v>
      </c>
      <c r="G4" s="45">
        <v>0.1</v>
      </c>
      <c r="H4" s="45">
        <v>0.15</v>
      </c>
      <c r="I4" s="45">
        <v>0.2</v>
      </c>
      <c r="J4" s="45">
        <v>0.3</v>
      </c>
      <c r="K4" s="175"/>
    </row>
    <row r="5" spans="1:11" ht="24" customHeight="1" x14ac:dyDescent="0.25">
      <c r="A5" s="39">
        <v>1</v>
      </c>
      <c r="B5" s="27" t="str">
        <f>VLOOKUP(A5,'لیست حقوق'!A4:B16,2,0)</f>
        <v>علی حسینی</v>
      </c>
      <c r="C5" s="28">
        <f>VLOOKUP(A5,'لیست حقوق'!A7:P16,16,0)-VLOOKUP(A5,'لیست حقوق'!A7:P16,12,0)</f>
        <v>119273913.27148704</v>
      </c>
      <c r="D5" s="28">
        <f>(VLOOKUP(A5,'لیست حقوق'!A:AA,17,0)*2)/7</f>
        <v>2098830.9054297409</v>
      </c>
      <c r="E5" s="28">
        <f>C5-D5</f>
        <v>117175082.36605731</v>
      </c>
      <c r="F5" s="28">
        <f>(IF($E5&gt;F$3,F$3,$E5-F$2))*F$4</f>
        <v>0</v>
      </c>
      <c r="G5" s="28">
        <f t="shared" ref="G5:I14" si="0">IF((IF($E5&gt;G$3,G$3,$E5-G$2))*G$4&gt;0,(IF($E5&gt;G$3,G$3-F$3,$E5-G$2))*G$4,0)</f>
        <v>0</v>
      </c>
      <c r="H5" s="28">
        <f t="shared" si="0"/>
        <v>0</v>
      </c>
      <c r="I5" s="28">
        <f t="shared" si="0"/>
        <v>0</v>
      </c>
      <c r="J5" s="28">
        <f>IF($E5&gt;J$2,$E5-J$2,0)*J$4</f>
        <v>0</v>
      </c>
      <c r="K5" s="40">
        <f>SUM(F5:J5)</f>
        <v>0</v>
      </c>
    </row>
    <row r="6" spans="1:11" ht="24" customHeight="1" x14ac:dyDescent="0.25">
      <c r="A6" s="29">
        <v>2</v>
      </c>
      <c r="B6" s="24" t="str">
        <f>VLOOKUP(A6,'لیست حقوق'!A5:B17,2,0)</f>
        <v>احمد تابان</v>
      </c>
      <c r="C6" s="25">
        <f>VLOOKUP(A6,'لیست حقوق'!A8:P17,16,0)-VLOOKUP(A6,'لیست حقوق'!A8:P17,12,0)</f>
        <v>99331754.357435197</v>
      </c>
      <c r="D6" s="26">
        <f>(VLOOKUP(A6,'لیست حقوق'!A:AA,17,0)*2)/7</f>
        <v>1986635.0871487039</v>
      </c>
      <c r="E6" s="26">
        <f t="shared" ref="E6:E14" si="1">C6-D6</f>
        <v>97345119.270286486</v>
      </c>
      <c r="F6" s="25">
        <f>(IF($E6&gt;F$3,F$3,$E6-F$2))*F$4</f>
        <v>0</v>
      </c>
      <c r="G6" s="25">
        <f t="shared" si="0"/>
        <v>0</v>
      </c>
      <c r="H6" s="25">
        <f t="shared" si="0"/>
        <v>0</v>
      </c>
      <c r="I6" s="25">
        <f t="shared" si="0"/>
        <v>0</v>
      </c>
      <c r="J6" s="25">
        <f t="shared" ref="J6:J14" si="2">IF($E6&gt;J$2,$E6-J$2,0)*J$4</f>
        <v>0</v>
      </c>
      <c r="K6" s="30">
        <f t="shared" ref="K6:K14" si="3">SUM(F6:J6)</f>
        <v>0</v>
      </c>
    </row>
    <row r="7" spans="1:11" ht="24" customHeight="1" x14ac:dyDescent="0.25">
      <c r="A7" s="31">
        <v>3</v>
      </c>
      <c r="B7" s="22" t="str">
        <f>VLOOKUP(A7,'لیست حقوق'!A6:B18,2,0)</f>
        <v>مریم  صدر</v>
      </c>
      <c r="C7" s="23">
        <f>VLOOKUP(A7,'لیست حقوق'!A9:P18,16,0)-VLOOKUP(A7,'لیست حقوق'!A9:P18,12,0)</f>
        <v>99752844.81673488</v>
      </c>
      <c r="D7" s="23">
        <f>(VLOOKUP(A7,'لیست حقوق'!A:AA,17,0)*2)/7</f>
        <v>1995056.8963346977</v>
      </c>
      <c r="E7" s="23">
        <f t="shared" si="1"/>
        <v>97757787.920400187</v>
      </c>
      <c r="F7" s="23">
        <f t="shared" ref="F7:F14" si="4">(IF($E7&gt;F$3,F$3,$E7-F$2))*F$4</f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2"/>
        <v>0</v>
      </c>
      <c r="K7" s="32">
        <f t="shared" si="3"/>
        <v>0</v>
      </c>
    </row>
    <row r="8" spans="1:11" ht="24" customHeight="1" x14ac:dyDescent="0.25">
      <c r="A8" s="29">
        <v>4</v>
      </c>
      <c r="B8" s="24" t="str">
        <f>VLOOKUP(A8,'لیست حقوق'!A7:B19,2,0)</f>
        <v>مسعود کمانی</v>
      </c>
      <c r="C8" s="25">
        <f>VLOOKUP(A8,'لیست حقوق'!A10:P19,16,0)-VLOOKUP(A8,'لیست حقوق'!A10:P19,12,0)</f>
        <v>111386752</v>
      </c>
      <c r="D8" s="26">
        <f>(VLOOKUP(A8,'لیست حقوق'!A:AA,17,0)*2)/7</f>
        <v>2084411.3599999999</v>
      </c>
      <c r="E8" s="26">
        <f t="shared" si="1"/>
        <v>109302340.64</v>
      </c>
      <c r="F8" s="25">
        <f t="shared" si="4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2"/>
        <v>0</v>
      </c>
      <c r="K8" s="30">
        <f t="shared" si="3"/>
        <v>0</v>
      </c>
    </row>
    <row r="9" spans="1:11" ht="24" customHeight="1" x14ac:dyDescent="0.25">
      <c r="A9" s="31">
        <v>5</v>
      </c>
      <c r="B9" s="22" t="str">
        <f>VLOOKUP(A9,'لیست حقوق'!A8:B20,2,0)</f>
        <v>کاوه بابا احمدی</v>
      </c>
      <c r="C9" s="23">
        <f>VLOOKUP(A9,'لیست حقوق'!A11:P20,16,0)-VLOOKUP(A9,'لیست حقوق'!A11:P20,12,0)</f>
        <v>118817676</v>
      </c>
      <c r="D9" s="23">
        <f>(VLOOKUP(A9,'لیست حقوق'!A:AA,17,0)*2)/7</f>
        <v>2089706.16</v>
      </c>
      <c r="E9" s="23">
        <f t="shared" si="1"/>
        <v>116727969.84</v>
      </c>
      <c r="F9" s="23">
        <f t="shared" si="4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2"/>
        <v>0</v>
      </c>
      <c r="K9" s="32">
        <f t="shared" si="3"/>
        <v>0</v>
      </c>
    </row>
    <row r="10" spans="1:11" ht="24" customHeight="1" x14ac:dyDescent="0.25">
      <c r="A10" s="29">
        <v>6</v>
      </c>
      <c r="B10" s="24" t="str">
        <f>VLOOKUP(A10,'لیست حقوق'!A9:B21,2,0)</f>
        <v xml:space="preserve"> </v>
      </c>
      <c r="C10" s="25">
        <f>VLOOKUP(A10,'لیست حقوق'!A12:P21,16,0)-VLOOKUP(A10,'لیست حقوق'!A12:P21,12,0)</f>
        <v>0</v>
      </c>
      <c r="D10" s="26">
        <f>(VLOOKUP(A10,'لیست حقوق'!A:AA,17,0)*2)/7</f>
        <v>0</v>
      </c>
      <c r="E10" s="26">
        <f t="shared" si="1"/>
        <v>0</v>
      </c>
      <c r="F10" s="25">
        <f t="shared" si="4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2"/>
        <v>0</v>
      </c>
      <c r="K10" s="30">
        <f t="shared" si="3"/>
        <v>0</v>
      </c>
    </row>
    <row r="11" spans="1:11" ht="24" customHeight="1" x14ac:dyDescent="0.25">
      <c r="A11" s="31">
        <v>7</v>
      </c>
      <c r="B11" s="22" t="str">
        <f>VLOOKUP(A11,'لیست حقوق'!A10:B22,2,0)</f>
        <v xml:space="preserve"> </v>
      </c>
      <c r="C11" s="23">
        <f>VLOOKUP(A11,'لیست حقوق'!A13:P22,16,0)-VLOOKUP(A11,'لیست حقوق'!A13:P22,12,0)</f>
        <v>0</v>
      </c>
      <c r="D11" s="23">
        <f>(VLOOKUP(A11,'لیست حقوق'!A:AA,17,0)*2)/7</f>
        <v>0</v>
      </c>
      <c r="E11" s="23">
        <f t="shared" si="1"/>
        <v>0</v>
      </c>
      <c r="F11" s="23">
        <f t="shared" si="4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2"/>
        <v>0</v>
      </c>
      <c r="K11" s="32">
        <f t="shared" si="3"/>
        <v>0</v>
      </c>
    </row>
    <row r="12" spans="1:11" ht="24" customHeight="1" x14ac:dyDescent="0.25">
      <c r="A12" s="29">
        <v>8</v>
      </c>
      <c r="B12" s="24" t="str">
        <f>VLOOKUP(A12,'لیست حقوق'!A11:B23,2,0)</f>
        <v xml:space="preserve"> </v>
      </c>
      <c r="C12" s="25">
        <f>VLOOKUP(A12,'لیست حقوق'!A14:P23,16,0)-VLOOKUP(A12,'لیست حقوق'!A14:P23,12,0)</f>
        <v>0</v>
      </c>
      <c r="D12" s="26">
        <f>(VLOOKUP(A12,'لیست حقوق'!A:AA,17,0)*2)/7</f>
        <v>0</v>
      </c>
      <c r="E12" s="26">
        <f t="shared" si="1"/>
        <v>0</v>
      </c>
      <c r="F12" s="25">
        <f t="shared" si="4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2"/>
        <v>0</v>
      </c>
      <c r="K12" s="30">
        <f t="shared" si="3"/>
        <v>0</v>
      </c>
    </row>
    <row r="13" spans="1:11" ht="24" customHeight="1" x14ac:dyDescent="0.25">
      <c r="A13" s="31">
        <v>9</v>
      </c>
      <c r="B13" s="22" t="str">
        <f>VLOOKUP(A13,'لیست حقوق'!A12:B24,2,0)</f>
        <v xml:space="preserve"> </v>
      </c>
      <c r="C13" s="23">
        <f>VLOOKUP(A13,'لیست حقوق'!A15:P24,16,0)-VLOOKUP(A13,'لیست حقوق'!A15:P24,12,0)</f>
        <v>0</v>
      </c>
      <c r="D13" s="23">
        <f>(VLOOKUP(A13,'لیست حقوق'!A:AA,17,0)*2)/7</f>
        <v>0</v>
      </c>
      <c r="E13" s="23">
        <f t="shared" si="1"/>
        <v>0</v>
      </c>
      <c r="F13" s="23">
        <f t="shared" si="4"/>
        <v>0</v>
      </c>
      <c r="G13" s="23">
        <f t="shared" si="0"/>
        <v>0</v>
      </c>
      <c r="H13" s="23">
        <f t="shared" si="0"/>
        <v>0</v>
      </c>
      <c r="I13" s="23">
        <f t="shared" si="0"/>
        <v>0</v>
      </c>
      <c r="J13" s="23">
        <f t="shared" si="2"/>
        <v>0</v>
      </c>
      <c r="K13" s="32">
        <f t="shared" si="3"/>
        <v>0</v>
      </c>
    </row>
    <row r="14" spans="1:11" ht="24" customHeight="1" thickBot="1" x14ac:dyDescent="0.3">
      <c r="A14" s="33">
        <v>10</v>
      </c>
      <c r="B14" s="34" t="str">
        <f>VLOOKUP(A14,'لیست حقوق'!A13:B25,2,0)</f>
        <v xml:space="preserve"> </v>
      </c>
      <c r="C14" s="35">
        <f>VLOOKUP(A14,'لیست حقوق'!A16:P25,16,0)-VLOOKUP(A14,'لیست حقوق'!A16:P25,12,0)</f>
        <v>0</v>
      </c>
      <c r="D14" s="36">
        <f>(VLOOKUP(A14,'لیست حقوق'!A:AA,17,0)*2)/7</f>
        <v>0</v>
      </c>
      <c r="E14" s="36">
        <f t="shared" si="1"/>
        <v>0</v>
      </c>
      <c r="F14" s="35">
        <f t="shared" si="4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2"/>
        <v>0</v>
      </c>
      <c r="K14" s="37">
        <f t="shared" si="3"/>
        <v>0</v>
      </c>
    </row>
    <row r="15" spans="1:11" ht="24" customHeight="1" thickBot="1" x14ac:dyDescent="0.3">
      <c r="A15" s="171" t="s">
        <v>60</v>
      </c>
      <c r="B15" s="172"/>
      <c r="C15" s="172"/>
      <c r="D15" s="172"/>
      <c r="E15" s="172"/>
      <c r="F15" s="172"/>
      <c r="G15" s="172"/>
      <c r="H15" s="172"/>
      <c r="I15" s="172"/>
      <c r="J15" s="172"/>
      <c r="K15" s="38">
        <f>SUM(K5:K14)</f>
        <v>0</v>
      </c>
    </row>
  </sheetData>
  <sheetProtection algorithmName="SHA-512" hashValue="9DhpmjrZQa2cxFss3IjeeXamu2UJXwlfONJ8sGH++ROs22ZxpOnBgzMYLt2tKZ0S9oMzYR9jLDbwoYfhe2/rgQ==" saltValue="xvt0i5JXaFaPr7GX63VhOw==" spinCount="100000" sheet="1" objects="1" scenarios="1"/>
  <mergeCells count="7">
    <mergeCell ref="A15:J15"/>
    <mergeCell ref="K2:K4"/>
    <mergeCell ref="A1:K1"/>
    <mergeCell ref="B2:B4"/>
    <mergeCell ref="A2:A4"/>
    <mergeCell ref="C2:C4"/>
    <mergeCell ref="D2:D4"/>
  </mergeCells>
  <pageMargins left="0.55000000000000004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5"/>
  <sheetViews>
    <sheetView rightToLeft="1" view="pageBreakPreview" topLeftCell="A13" zoomScaleNormal="100" zoomScaleSheetLayoutView="100" workbookViewId="0">
      <selection activeCell="B4" sqref="B4:C4"/>
    </sheetView>
  </sheetViews>
  <sheetFormatPr defaultColWidth="8.85546875" defaultRowHeight="22.9" customHeight="1" x14ac:dyDescent="0.25"/>
  <cols>
    <col min="1" max="1" width="2.7109375" style="46" customWidth="1"/>
    <col min="2" max="2" width="12" style="46" customWidth="1"/>
    <col min="3" max="3" width="7.85546875" style="46" customWidth="1"/>
    <col min="4" max="4" width="18.85546875" style="46" customWidth="1"/>
    <col min="5" max="5" width="17.85546875" style="46" customWidth="1"/>
    <col min="6" max="6" width="18.85546875" style="46" customWidth="1"/>
    <col min="7" max="7" width="17.85546875" style="46" customWidth="1"/>
    <col min="8" max="8" width="14.140625" style="46" customWidth="1"/>
    <col min="9" max="16384" width="8.85546875" style="46"/>
  </cols>
  <sheetData>
    <row r="1" spans="2:7" ht="46.5" customHeight="1" x14ac:dyDescent="0.25">
      <c r="B1" s="185" t="str">
        <f>CONCATENATE("فیش حقوقی پرسنل "," ",'لیست حقوق'!A1)</f>
        <v>فیش حقوقی پرسنل  رسانه آموزش لیموناد - limoonad.com</v>
      </c>
      <c r="C1" s="186"/>
      <c r="D1" s="186"/>
      <c r="E1" s="186"/>
      <c r="F1" s="186"/>
      <c r="G1" s="187"/>
    </row>
    <row r="2" spans="2:7" ht="25.5" customHeight="1" x14ac:dyDescent="0.25">
      <c r="B2" s="57"/>
      <c r="F2" s="58" t="s">
        <v>64</v>
      </c>
      <c r="G2" s="59" t="str">
        <f>CONCATENATE( 'لیست حقوق'!X3," ",'لیست حقوق'!Y3," ",'لیست حقوق'!Z3)</f>
        <v>فروردین سال 1403</v>
      </c>
    </row>
    <row r="3" spans="2:7" ht="45" customHeight="1" thickBot="1" x14ac:dyDescent="0.3">
      <c r="B3" s="49" t="s">
        <v>26</v>
      </c>
      <c r="C3" s="50">
        <v>2</v>
      </c>
      <c r="D3" s="51" t="s">
        <v>98</v>
      </c>
      <c r="E3" s="52" t="str">
        <f>VLOOKUP(C3,'لیست حقوق'!A4:B16,2,0)</f>
        <v>احمد تابان</v>
      </c>
      <c r="F3" s="51" t="s">
        <v>2</v>
      </c>
      <c r="G3" s="53">
        <f>VLOOKUP(C3,قرارداد!A9:D19,4,0)</f>
        <v>0</v>
      </c>
    </row>
    <row r="4" spans="2:7" ht="44.25" customHeight="1" x14ac:dyDescent="0.25">
      <c r="B4" s="192" t="s">
        <v>41</v>
      </c>
      <c r="C4" s="193"/>
      <c r="D4" s="192" t="s">
        <v>62</v>
      </c>
      <c r="E4" s="193"/>
      <c r="F4" s="192" t="s">
        <v>63</v>
      </c>
      <c r="G4" s="193"/>
    </row>
    <row r="5" spans="2:7" ht="22.9" customHeight="1" x14ac:dyDescent="0.25">
      <c r="B5" s="54" t="s">
        <v>44</v>
      </c>
      <c r="C5" s="67">
        <f>VLOOKUP('فیش حقوقی'!C3,'لیست حقوق'!A7:C16,3,0)</f>
        <v>31</v>
      </c>
      <c r="D5" s="54" t="s">
        <v>38</v>
      </c>
      <c r="E5" s="60">
        <f>VLOOKUP(C3,'لیست حقوق'!A7:Y16,4,0)</f>
        <v>74050568</v>
      </c>
      <c r="F5" s="54" t="s">
        <v>39</v>
      </c>
      <c r="G5" s="60">
        <f>VLOOKUP(C3,'لیست حقوق'!A7:Y16,17,0)</f>
        <v>6953222.8050204637</v>
      </c>
    </row>
    <row r="6" spans="2:7" ht="22.9" customHeight="1" x14ac:dyDescent="0.25">
      <c r="B6" s="54"/>
      <c r="C6" s="68"/>
      <c r="D6" s="54" t="s">
        <v>96</v>
      </c>
      <c r="E6" s="61">
        <f>VLOOKUP(C3,'لیست حقوق'!A7:Y16,5,0)+VLOOKUP(C3,'لیست حقوق'!A7:Y16,6,0)</f>
        <v>23000000</v>
      </c>
      <c r="F6" s="54" t="s">
        <v>40</v>
      </c>
      <c r="G6" s="61">
        <f>VLOOKUP(C3,'لیست حقوق'!A7:Y16,18,0)</f>
        <v>0</v>
      </c>
    </row>
    <row r="7" spans="2:7" ht="22.9" customHeight="1" x14ac:dyDescent="0.25">
      <c r="B7" s="54" t="s">
        <v>7</v>
      </c>
      <c r="C7" s="68" t="str">
        <f>CONCATENATE(VLOOKUP(C3,'لیست حقوق'!A7:N16,14,0),":",+VLOOKUP(C3,'لیست حقوق'!A7:N16,13,0))</f>
        <v>5:0</v>
      </c>
      <c r="D7" s="54" t="s">
        <v>82</v>
      </c>
      <c r="E7" s="61">
        <f>VLOOKUP(C3,'لیست حقوق'!A7:Y16,7,0)</f>
        <v>0</v>
      </c>
      <c r="F7" s="54" t="s">
        <v>15</v>
      </c>
      <c r="G7" s="61">
        <f>VLOOKUP(C3,'لیست حقوق'!A7:Y16,19,0)</f>
        <v>0</v>
      </c>
    </row>
    <row r="8" spans="2:7" ht="22.9" customHeight="1" x14ac:dyDescent="0.25">
      <c r="B8" s="54"/>
      <c r="C8" s="68"/>
      <c r="D8" s="54" t="s">
        <v>83</v>
      </c>
      <c r="E8" s="61">
        <f>VLOOKUP(C3,'لیست حقوق'!A7:Y16,8,0)</f>
        <v>0</v>
      </c>
      <c r="F8" s="54" t="s">
        <v>17</v>
      </c>
      <c r="G8" s="61">
        <f>VLOOKUP(C3,'لیست حقوق'!A7:Y16,22,0)</f>
        <v>0</v>
      </c>
    </row>
    <row r="9" spans="2:7" ht="22.9" customHeight="1" x14ac:dyDescent="0.25">
      <c r="B9" s="54" t="s">
        <v>92</v>
      </c>
      <c r="C9" s="68">
        <f>VLOOKUP('فیش حقوقی'!C3,'لیست حقوق'!A7:K16,11,0)</f>
        <v>50</v>
      </c>
      <c r="D9" s="54" t="s">
        <v>78</v>
      </c>
      <c r="E9" s="61">
        <f>VLOOKUP(C3,'لیست حقوق'!A7:Y16,9,0)</f>
        <v>0</v>
      </c>
      <c r="F9" s="54" t="s">
        <v>18</v>
      </c>
      <c r="G9" s="61">
        <f>VLOOKUP(C3,'لیست حقوق'!A7:Y16,23,0)</f>
        <v>0</v>
      </c>
    </row>
    <row r="10" spans="2:7" ht="22.9" customHeight="1" x14ac:dyDescent="0.25">
      <c r="B10" s="54"/>
      <c r="C10" s="68"/>
      <c r="D10" s="54" t="s">
        <v>10</v>
      </c>
      <c r="E10" s="61">
        <f>VLOOKUP(C3,'لیست حقوق'!A7:Y16,10,0)</f>
        <v>0</v>
      </c>
      <c r="F10" s="54"/>
      <c r="G10" s="61"/>
    </row>
    <row r="11" spans="2:7" ht="22.9" customHeight="1" x14ac:dyDescent="0.25">
      <c r="B11" s="54" t="s">
        <v>17</v>
      </c>
      <c r="C11" s="68" t="str">
        <f>CONCATENATE(VLOOKUP(C3,'لیست حقوق'!A7:U16,21,0),":",+VLOOKUP(C3,'لیست حقوق'!A7:U16,20,0))</f>
        <v>0:0</v>
      </c>
      <c r="D11" s="54" t="s">
        <v>7</v>
      </c>
      <c r="E11" s="61">
        <f>VLOOKUP(C3,'لیست حقوق'!A7:Y16,15,0)</f>
        <v>2281186.3574351976</v>
      </c>
      <c r="F11" s="54"/>
      <c r="G11" s="61"/>
    </row>
    <row r="12" spans="2:7" ht="22.9" customHeight="1" thickBot="1" x14ac:dyDescent="0.3">
      <c r="B12" s="56"/>
      <c r="C12" s="69"/>
      <c r="D12" s="54" t="s">
        <v>97</v>
      </c>
      <c r="E12" s="62">
        <f>VLOOKUP(C3,'لیست حقوق'!A7:Y16,12,0)</f>
        <v>119436400</v>
      </c>
      <c r="F12" s="49"/>
      <c r="G12" s="62"/>
    </row>
    <row r="13" spans="2:7" ht="22.9" customHeight="1" thickBot="1" x14ac:dyDescent="0.3">
      <c r="B13" s="196" t="s">
        <v>32</v>
      </c>
      <c r="C13" s="197"/>
      <c r="D13" s="64"/>
      <c r="E13" s="63">
        <f>SUM(E5:E12)</f>
        <v>218768154.3574352</v>
      </c>
      <c r="F13" s="47"/>
      <c r="G13" s="65">
        <f>SUM(G5:G12)</f>
        <v>6953222.8050204637</v>
      </c>
    </row>
    <row r="14" spans="2:7" s="48" customFormat="1" ht="17.25" customHeight="1" x14ac:dyDescent="0.25">
      <c r="B14" s="189" t="s">
        <v>20</v>
      </c>
      <c r="C14" s="190"/>
      <c r="D14" s="190"/>
      <c r="E14" s="191">
        <f>VLOOKUP(C3,'لیست حقوق'!A7:Y16,25,0)</f>
        <v>68.447585254907608</v>
      </c>
      <c r="F14" s="191"/>
      <c r="G14" s="66"/>
    </row>
    <row r="15" spans="2:7" ht="22.9" customHeight="1" thickBot="1" x14ac:dyDescent="0.3">
      <c r="B15" s="194" t="s">
        <v>42</v>
      </c>
      <c r="C15" s="195"/>
      <c r="D15" s="195"/>
      <c r="E15" s="188">
        <f>E13-G13+E14</f>
        <v>211815000</v>
      </c>
      <c r="F15" s="188"/>
      <c r="G15" s="55" t="s">
        <v>43</v>
      </c>
    </row>
  </sheetData>
  <sheetProtection algorithmName="SHA-512" hashValue="oZ3JEvs/r9P+CHWiNIj/jFKxQ2UeX8X3B5WKznG2XoUkoC+y0o2NX3LcHCAm1N2T/3RH+thWbNUkZjw9hePJvA==" saltValue="quTPyKn4UihYr1N14YDccQ==" spinCount="100000" sheet="1" objects="1" scenarios="1"/>
  <mergeCells count="9">
    <mergeCell ref="B1:G1"/>
    <mergeCell ref="E15:F15"/>
    <mergeCell ref="B14:D14"/>
    <mergeCell ref="E14:F14"/>
    <mergeCell ref="D4:E4"/>
    <mergeCell ref="F4:G4"/>
    <mergeCell ref="B4:C4"/>
    <mergeCell ref="B15:D15"/>
    <mergeCell ref="B13:C13"/>
  </mergeCells>
  <pageMargins left="0.36" right="0.22" top="0.61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1 - f 6 c c f 1 1 7 - 0 3 3 6 - 4 e 1 7 - b 2 8 b - 7 7 1 1 0 c b c 0 d 5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a b l e 1 - f 6 c c f 1 1 7 - 0 3 3 6 - 4 e 1 7 - b 2 8 b - 7 7 1 1 0 c b c 0 d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 1 1 2 < / i n t > < / v a l u e > < / i t e m > < / C o l u m n W i d t h s > < C o l u m n D i s p l a y I n d e x > < i t e m > < k e y > < s t r i n g > C o l u m n 1 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 T a b l e 1 - f 6 c c f 1 1 7 - 0 3 3 6 - 4 e 1 7 - b 2 8 b - 7 7 1 1 0 c b c 0 d 5 1 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a b l e 1 - f 6 c c f 1 1 7 - 0 3 3 6 - 4 e 1 7 - b 2 8 b - 7 7 1 1 0 c b c 0 d 5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 2 0 2 1 - 0 1 - 2 5 T 1 7 : 2 9 : 1 5 . 3 2 1 6 1 9 2 + 0 3 : 3 0 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9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 T a b l e 1 - f 6 c c f 1 1 7 - 0 3 3 6 - 4 e 1 7 - b 2 8 b - 7 7 1 1 0 c b c 0 d 5 1 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3D3EA7BA-C4CF-421D-A68B-7AC7F4CB84B1}">
  <ds:schemaRefs/>
</ds:datastoreItem>
</file>

<file path=customXml/itemProps10.xml><?xml version="1.0" encoding="utf-8"?>
<ds:datastoreItem xmlns:ds="http://schemas.openxmlformats.org/officeDocument/2006/customXml" ds:itemID="{419E0FF0-0987-4E8A-B7F4-0CB42BFF0341}">
  <ds:schemaRefs/>
</ds:datastoreItem>
</file>

<file path=customXml/itemProps11.xml><?xml version="1.0" encoding="utf-8"?>
<ds:datastoreItem xmlns:ds="http://schemas.openxmlformats.org/officeDocument/2006/customXml" ds:itemID="{04C0B4D4-1AD3-40BF-9CB6-C99162A7A6E5}">
  <ds:schemaRefs/>
</ds:datastoreItem>
</file>

<file path=customXml/itemProps12.xml><?xml version="1.0" encoding="utf-8"?>
<ds:datastoreItem xmlns:ds="http://schemas.openxmlformats.org/officeDocument/2006/customXml" ds:itemID="{343C348E-7D19-42B6-A6A0-5635A62A599D}">
  <ds:schemaRefs/>
</ds:datastoreItem>
</file>

<file path=customXml/itemProps13.xml><?xml version="1.0" encoding="utf-8"?>
<ds:datastoreItem xmlns:ds="http://schemas.openxmlformats.org/officeDocument/2006/customXml" ds:itemID="{A7D6EE6E-8E2D-4D6A-BF02-47039F86026D}">
  <ds:schemaRefs/>
</ds:datastoreItem>
</file>

<file path=customXml/itemProps14.xml><?xml version="1.0" encoding="utf-8"?>
<ds:datastoreItem xmlns:ds="http://schemas.openxmlformats.org/officeDocument/2006/customXml" ds:itemID="{1094CAF2-3DD9-430D-BDCB-0EE554D2008D}">
  <ds:schemaRefs/>
</ds:datastoreItem>
</file>

<file path=customXml/itemProps15.xml><?xml version="1.0" encoding="utf-8"?>
<ds:datastoreItem xmlns:ds="http://schemas.openxmlformats.org/officeDocument/2006/customXml" ds:itemID="{54D35166-2F54-41F1-AEAB-7502272D053B}">
  <ds:schemaRefs/>
</ds:datastoreItem>
</file>

<file path=customXml/itemProps16.xml><?xml version="1.0" encoding="utf-8"?>
<ds:datastoreItem xmlns:ds="http://schemas.openxmlformats.org/officeDocument/2006/customXml" ds:itemID="{6C29CBD5-73A1-45FA-9EA7-E0FCF2524583}">
  <ds:schemaRefs/>
</ds:datastoreItem>
</file>

<file path=customXml/itemProps2.xml><?xml version="1.0" encoding="utf-8"?>
<ds:datastoreItem xmlns:ds="http://schemas.openxmlformats.org/officeDocument/2006/customXml" ds:itemID="{01BED3E5-7884-4879-ADA0-FA4085D48937}">
  <ds:schemaRefs/>
</ds:datastoreItem>
</file>

<file path=customXml/itemProps3.xml><?xml version="1.0" encoding="utf-8"?>
<ds:datastoreItem xmlns:ds="http://schemas.openxmlformats.org/officeDocument/2006/customXml" ds:itemID="{588BC28E-5D3A-42D4-9187-28A90366E989}">
  <ds:schemaRefs/>
</ds:datastoreItem>
</file>

<file path=customXml/itemProps4.xml><?xml version="1.0" encoding="utf-8"?>
<ds:datastoreItem xmlns:ds="http://schemas.openxmlformats.org/officeDocument/2006/customXml" ds:itemID="{99D0A5E3-857F-47A2-8E79-39244BF49CBD}">
  <ds:schemaRefs/>
</ds:datastoreItem>
</file>

<file path=customXml/itemProps5.xml><?xml version="1.0" encoding="utf-8"?>
<ds:datastoreItem xmlns:ds="http://schemas.openxmlformats.org/officeDocument/2006/customXml" ds:itemID="{3FD01636-5540-4572-B592-81B75DC9E593}">
  <ds:schemaRefs/>
</ds:datastoreItem>
</file>

<file path=customXml/itemProps6.xml><?xml version="1.0" encoding="utf-8"?>
<ds:datastoreItem xmlns:ds="http://schemas.openxmlformats.org/officeDocument/2006/customXml" ds:itemID="{0481CC2A-C935-42AD-8C25-8AF4AD2113D7}">
  <ds:schemaRefs/>
</ds:datastoreItem>
</file>

<file path=customXml/itemProps7.xml><?xml version="1.0" encoding="utf-8"?>
<ds:datastoreItem xmlns:ds="http://schemas.openxmlformats.org/officeDocument/2006/customXml" ds:itemID="{5E21DC56-7AA5-4EC5-AE0E-55BCCE671329}">
  <ds:schemaRefs/>
</ds:datastoreItem>
</file>

<file path=customXml/itemProps8.xml><?xml version="1.0" encoding="utf-8"?>
<ds:datastoreItem xmlns:ds="http://schemas.openxmlformats.org/officeDocument/2006/customXml" ds:itemID="{AD05B22F-F34F-42A3-9563-985529ADDA60}">
  <ds:schemaRefs/>
</ds:datastoreItem>
</file>

<file path=customXml/itemProps9.xml><?xml version="1.0" encoding="utf-8"?>
<ds:datastoreItem xmlns:ds="http://schemas.openxmlformats.org/officeDocument/2006/customXml" ds:itemID="{82B9D559-0062-43CB-B798-BCC02B4730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قرارداد</vt:lpstr>
      <vt:lpstr>لیست حقوق</vt:lpstr>
      <vt:lpstr>جدول مالیات</vt:lpstr>
      <vt:lpstr>فیش حقوقی</vt:lpstr>
      <vt:lpstr>'لیست حقوق'!Print_Area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limoonad.com</dc:title>
  <dc:subject>رسانه آموزشی لیموناد</dc:subject>
  <dc:creator/>
  <cp:keywords>اکسل حقوق و دستمزد 1400</cp:keywords>
  <cp:lastModifiedBy/>
  <dcterms:created xsi:type="dcterms:W3CDTF">2006-09-16T00:00:00Z</dcterms:created>
  <dcterms:modified xsi:type="dcterms:W3CDTF">2024-07-24T07:48:55Z</dcterms:modified>
  <cp:version>1400-01</cp:version>
</cp:coreProperties>
</file>